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850" activeTab="0"/>
  </bookViews>
  <sheets>
    <sheet name="ЗФ" sheetId="1" r:id="rId1"/>
  </sheets>
  <definedNames>
    <definedName name="_xlnm.Print_Titles" localSheetId="0">'ЗФ'!$11:$11</definedName>
    <definedName name="_xlnm.Print_Area" localSheetId="0">'ЗФ'!$A$1:$U$158</definedName>
  </definedNames>
  <calcPr fullCalcOnLoad="1"/>
</workbook>
</file>

<file path=xl/sharedStrings.xml><?xml version="1.0" encoding="utf-8"?>
<sst xmlns="http://schemas.openxmlformats.org/spreadsheetml/2006/main" count="192" uniqueCount="165">
  <si>
    <t>Державне управління</t>
  </si>
  <si>
    <t>Освіта</t>
  </si>
  <si>
    <t xml:space="preserve">Охорона здоров"я </t>
  </si>
  <si>
    <t>Загальний фонд</t>
  </si>
  <si>
    <t>Напрям використання</t>
  </si>
  <si>
    <t>Всього по ЗАГАЛЬНОМУ ФОНДУ</t>
  </si>
  <si>
    <t>Всього по СПЕЦІАЛЬНОМУ ФОНДУ</t>
  </si>
  <si>
    <t>Спеціальний фонд</t>
  </si>
  <si>
    <t xml:space="preserve">Всього </t>
  </si>
  <si>
    <t>ЦРЛ</t>
  </si>
  <si>
    <t>ЧРЦПМСД</t>
  </si>
  <si>
    <t>Інші субвенції з сільських(селищних) бюджетів</t>
  </si>
  <si>
    <t>Культура</t>
  </si>
  <si>
    <t>перевиконання</t>
  </si>
  <si>
    <t>Соціальний захист та соціальне забезпечення</t>
  </si>
  <si>
    <t>КТКВК - КПКВК</t>
  </si>
  <si>
    <t>80101- 2010</t>
  </si>
  <si>
    <t xml:space="preserve">За рахунок залишку на котловому рахунку </t>
  </si>
  <si>
    <t>За рахунок перерозподілу</t>
  </si>
  <si>
    <t xml:space="preserve">Пропозиції розпорядника </t>
  </si>
  <si>
    <t>Додаток 2</t>
  </si>
  <si>
    <t>до пояснювальної записки</t>
  </si>
  <si>
    <t>Перевиконання доходної частини бюджету</t>
  </si>
  <si>
    <t xml:space="preserve">За рахунок залишку  </t>
  </si>
  <si>
    <t>Всього:</t>
  </si>
  <si>
    <t>в т.ч.на оплату праці та енергоносії</t>
  </si>
  <si>
    <t>в т.ч.інші</t>
  </si>
  <si>
    <t>На заробітну плату з нарахуваннями</t>
  </si>
  <si>
    <t>Оплата теплопостачання</t>
  </si>
  <si>
    <t>Оплата електроенергії</t>
  </si>
  <si>
    <t>Інші видатки</t>
  </si>
  <si>
    <t>на основному рахунку</t>
  </si>
  <si>
    <t xml:space="preserve"> До подальшого розгляду  на сесіях районної ради 2018 р.</t>
  </si>
  <si>
    <t>Міжбюджетні трансферти від ОТГ</t>
  </si>
  <si>
    <t>На виплату зарплати   у зв`язку з незабезпеченістю</t>
  </si>
  <si>
    <t xml:space="preserve">На заробітну плату з нарахуваннями ЦСССДМ </t>
  </si>
  <si>
    <t>Фізкультура і спорт</t>
  </si>
  <si>
    <t>ФСТ "Колос"на зарплату у зв`язку із незабезпеченістю</t>
  </si>
  <si>
    <t>Визначено   РДА на сесію 22 травня</t>
  </si>
  <si>
    <t>Оплата енергоносіїв</t>
  </si>
  <si>
    <t>Дотація з облбюджету</t>
  </si>
  <si>
    <t>Трансферти з держбюджету</t>
  </si>
  <si>
    <t>Залишок коштів на котловому рахунку на 01.01.2018 р. - 5 631 359,61 грн.( в т.ч. оборотна касова готівка - 10000,0 грн.), по освітній субвенції -3 503 626,71 грн., по субвенції на соц-екон.розвиток ЗФ -1 430 000,00 грн, по субвенції на соц-екон.розвиток СФ -461 873,77 грн.</t>
  </si>
  <si>
    <t>Оплата енергоносіїв на завершення опалювальн.періоду</t>
  </si>
  <si>
    <t>Оплата енергоносіїв  на завершення опалювальн.періоду</t>
  </si>
  <si>
    <t>Матеріальна допомога на лікування Здора Ю.В.</t>
  </si>
  <si>
    <t>Затверджено спільними розпорядженнями РДА та райради , розпорядженнями голови РДА</t>
  </si>
  <si>
    <t>Медична субвенція з ДБ</t>
  </si>
  <si>
    <t>На поточні видатки (крім комунальних послуг та нергоносіїв)</t>
  </si>
  <si>
    <t>Субвенція з ДБ на соц.-ек.розвиток для Ст.Білоуської сільради</t>
  </si>
  <si>
    <t>Інша субвенція з обласного бюджету на поховання учасників бойових дій</t>
  </si>
  <si>
    <t>Надання допомоги при народженні дитини</t>
  </si>
  <si>
    <t>Придбання лінолеуму для Ковпитської ЗОШ (Ковпитська с/р)</t>
  </si>
  <si>
    <t>Ремонт спортивної зали Мньовської ЗОШ  (Мньовська с/р)</t>
  </si>
  <si>
    <t>Отримання технічного завдання від ПАТ "Чернігівгаз", виготовлення робочого проекту з організації та облаштування вузла обліку Слабинської ЗОШ засобами дистанційної передачі даних та погодження проекту в ПАТ "Чернігівгаз"(Слабинська с/р-5540грн, )</t>
  </si>
  <si>
    <t>Для виготовлення проектно-кошторисної документації, придбання та встановлення комерційного вузла обліку природнього газу обладнаного модемом у Роїщенській ЗОШ (Роїщенська с/р)</t>
  </si>
  <si>
    <t>На проведення експертизи робочого проекту " Реконструкція системи організованого водовідведення поверхневих вод з території комунального закладу Седнівський НВК Чернігівської районної ради Чернігівської області" (Седнівська с/р)</t>
  </si>
  <si>
    <t>Придбання комп`ютерного обладнання для сімених лікарів (Слабинська с/р)</t>
  </si>
  <si>
    <t>На виготовлення проектно-кошторисної документації по заміні газових лічильників з облаштуванням вузлів обліку природного газу засобами дистанційної передачі даних в Седнівській сімейній амбулаторії та Новенському ФП (Седнівська сел/р)</t>
  </si>
  <si>
    <t>На оплату послуг інтернет-зв`язку Гончарівської амбулаторії та Смолинського ФАПу (Гончарівська сел/р)</t>
  </si>
  <si>
    <t>Субвенція з ДБ на забезпечення житлом дітей-сиріт для Н.Білоуської с/р</t>
  </si>
  <si>
    <t>Придбання обладнання для хімічної очистки води в опалювальній системі (Анисівська с/р)</t>
  </si>
  <si>
    <t>На заробітну плату та енергоносії (Боромиківська с/р)</t>
  </si>
  <si>
    <t>Придбання інсуліну (Анисівська с/р- 47426,00 грн,  Боромиківська с/р-30236,0 грн, Довжицька с/р- 14132,85 грн, Роїщенська  с/р- 12603,89 грн, Черниська-9600,0 грн)</t>
  </si>
  <si>
    <t>На виготовлення ПКД по заміні газового лічильника з організації та облаштуванням вузла обліку природного газу засобом дистанційної передачі даних в Олишівській сімейній амбулаторії (Олишівська с/р)</t>
  </si>
  <si>
    <t>На виготовлення ПКД на облаштування вузлів обліку природного газу засобами дистанційної передачі даних для лікувально - профілактичних закладів розташованих на території сільської ради (Боромиківський, Cнов`янський ФП) (Боромиківська с/р)</t>
  </si>
  <si>
    <t>Капітальний ремонт системи газопостачання ФП с.Брусилів (Киселівська с/р)</t>
  </si>
  <si>
    <t>Для встановлення засобу дистанційної передачі даних із заміною лічильника газу в приміщенні Черниського ФП (Черниська с/р)</t>
  </si>
  <si>
    <t>На поточний ремонт санітарного автомобіля Олишівської сімейної амбулаторії (Олишівська с/р)</t>
  </si>
  <si>
    <t>На фінансування комунального закладу охорони здоров’я, який надає первинну медичну допомогу, що не уклав договору про медичне обслуговування населення за програмою державних гарантій медичного обслуговування населення для первинної медичної допомоги (М.Коцюбинська-590,5 тис.грн, Іванівська-389,8 тис.грн, Гончаріська-327,1 тис.грн, Олишівська-202,6 тис.грн)</t>
  </si>
  <si>
    <t>На заробітну плату (М.Коцюбинська-213,7 тис.грн, Киїнська-57,7 тис.грн, Боромиківська-7,9 тис.грн)</t>
  </si>
  <si>
    <t>На заробітну плату та енергоносії (Хмільницька с/р)</t>
  </si>
  <si>
    <t>На фінансування ЦПМСД (Гончарівська с/р)</t>
  </si>
  <si>
    <t>Для ремонту приміщення їдальні Трисвятськослобідської ЗОШ (Трисвятськослобідська с/р)</t>
  </si>
  <si>
    <t>Поточний ремонт приміщення Брусилівської ЗОШ (Киселівська с/р)</t>
  </si>
  <si>
    <t>На придбання обладнання та дидактичних матеріалів необхідних для облаштування першого класу, на обладнання решітками вікон першого класу, на заміну двох вікон для учнів п`ятого класу (Н.Білоуська)</t>
  </si>
  <si>
    <t>На поточний ремонт приміщення Олишівської ЗОШ (Олишівська с/р)</t>
  </si>
  <si>
    <t>На придбання фарби для проведення поточного ремонту приміщення школи (Анисівська с/р)</t>
  </si>
  <si>
    <t>Для розрахунків за енергоносії по навчальним закладам, розташованих на території  Боромиківської с/р (Боромиківська с/р)</t>
  </si>
  <si>
    <t>На оплату курсів підвищення кваліфікації вчителів іноземних мов (Олишівська с/р)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</si>
  <si>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</si>
  <si>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виплату зарплати працівникам терцентру  у зв`язку з незабезпеченістю</t>
  </si>
  <si>
    <t>На виплату зарплати  організації ветеранів</t>
  </si>
  <si>
    <t>Подарунки до ювілею, листівки, знаки "Почесний ветеран"</t>
  </si>
  <si>
    <t>Підписка газети "Наш край", "Ветеран України" для Почесних ветеранів</t>
  </si>
  <si>
    <t>Видатки на відрядження</t>
  </si>
  <si>
    <t>Соціальна допомога</t>
  </si>
  <si>
    <t xml:space="preserve">Відшкодування пільгових пенсій, допомога ветеранам </t>
  </si>
  <si>
    <t>Районний трудовий архів (енергоносії -2000,0 грн, придбання стелажів-3000,0 грн)</t>
  </si>
  <si>
    <t>ФСТ "Колос"на відрядження-4480,0 грн, придбання-4998,5</t>
  </si>
  <si>
    <t>ДЮСШ ФСТ "Колос" відрядження-17000,0 грн, придбання - 20000,0 грн, послуги-3000,0 грн</t>
  </si>
  <si>
    <t>0150</t>
  </si>
  <si>
    <t>Оплата водопостачання</t>
  </si>
  <si>
    <t>Встановлення пандусу</t>
  </si>
  <si>
    <t>На заробітну плату та енергоносії (Ст.Білоуська с/р)</t>
  </si>
  <si>
    <t>Придбання 6 євроконтейнерів оцинкованих об`ємом 1,1 куб.м Киїнська с/р)</t>
  </si>
  <si>
    <t>Для розрахунків за енергоносії (Ст.Білоуська с/р)</t>
  </si>
  <si>
    <t>На оплату праці працівників навчальних закладів (крім педагогічних працівників загальноосвітніх шкіл) ДОТАЦІЯ з Держ бюджету</t>
  </si>
  <si>
    <t xml:space="preserve"> Придбання комп’ютерної техніки  для 11 навчальних закладів, в яких кількість учнів в першому класі менша 10 (Освітня субвенція)</t>
  </si>
  <si>
    <t>Придбання принтерів (Освітня субвенція)</t>
  </si>
  <si>
    <t>Закупівля дидактичних матеріалів (Субвенція з ДБ "Нова укр.школа")</t>
  </si>
  <si>
    <t>Закупівля сучасних меблів (Субвенція з ДБ "Нова укр.школа")</t>
  </si>
  <si>
    <t>Оплату курсів підвищення кваліфікації вчителів іноземних мов, які навчатимуть учнів перших класів у 2018/19 навчальному році(Субвенція з ДБ "Нова укр.школа")</t>
  </si>
  <si>
    <t>Комп’ютерне обладнання відповідного мультимедійного контенту (Субвенція з Держбюджету "Нова укр.школа")</t>
  </si>
  <si>
    <t xml:space="preserve">Повернення невикорист.коштів освіт.субвенції  Олишівської ЗОШ </t>
  </si>
  <si>
    <t>Поточний ремонт даху</t>
  </si>
  <si>
    <t>Будівництво пандусу</t>
  </si>
  <si>
    <t>Для виготовлення проектно-кошторисної документації, придбання та встановлення комерційного вузла обліку природнього газу обладнаного модемом у Кувечицькій  ЗОШ (Кувечицька с/р)</t>
  </si>
  <si>
    <t>На виготовлення робочого проекту з організації та облаштування вузла обліку Сновянської ЗОШ  засобом дистанційної передачі даних та погодження проекту в ПАТ "Чернігівгаз"(Боромиківська с/р)</t>
  </si>
  <si>
    <t>На отримання технічного завдання від ПАТ "Чернігівгаз" з виготовлення робочого проекту з організації та облаштування вузла обліку природного газу Олишівської  ЗОШ засобами дистанційної передачі даних та погодження проекту в ПАТ "Чернігівгаз" (Олишівська с/р)</t>
  </si>
  <si>
    <t>Для поточних витрат КНП „Чернігівський районний Центр первинної медико – санітарної допомоги” (Олишівська с/р)</t>
  </si>
  <si>
    <t>Встановлення лічильників у Іванівській амбулаторії та фельдшерсько - акушерських пунктах, розміщених на території Іванівської ОТГ (Іванівська с/р)</t>
  </si>
  <si>
    <t>На заробітну плату з нарахуваннями соціальним працівникам (Боромиківська с/р-4542,0 грн, Вознесенська с/р-12057,48 грн, Довжицька с/р-15000,00 грн, Киїнська с/р-43706,21 грн, Мньовська с/р-13626,18 грн, Ст.Білоуська-13500,0 грн)</t>
  </si>
  <si>
    <t>Пропозиції по змінам   до рішення  Чернігівської районної ради  від  22 грудня 2017 року  „Про районний  бюджет на 2018 рік” зі змінами, внесеними рішенням  Чернігівської районної ради   30 травня 2018 року</t>
  </si>
  <si>
    <t>Використано залишків станом на 01.09.2018 року : з котлового рахунку ЗФ - 5 134 300,0 грн,  по освітній субвенції-3 503 626,71 грн, з рахунку соц.-екон.розвитку ЗФ  - 1430000,0 грн,  з рахунку соц.-екон.розвитку СФ -461 873,77 грн.</t>
  </si>
  <si>
    <t>Невикористантий залишок ЗФ станом на 01.09.2018 року-487 059,61 грн</t>
  </si>
  <si>
    <t>Матеріали  10.09.2018</t>
  </si>
  <si>
    <t>На заробітну плату та розрахунки за енергоносії (Н.Білоуська с/р)</t>
  </si>
  <si>
    <t>На заробітну плату та енергоносії (Н.Білоуська с/р)</t>
  </si>
  <si>
    <t>0180</t>
  </si>
  <si>
    <t>Зменшення обсягу субвенції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</si>
  <si>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Ремонт поліклінічного відділення (Ковпитська с/р)</t>
  </si>
  <si>
    <t>На заробітну плату та енергоносії (Н.Білоуська с/р-10000, 0 грн)</t>
  </si>
  <si>
    <t>На поточний ремонт та енергомодернізацію Ковпитської амбулаторії-400000,0 грн, на енергоносії по Ковпитській амбулаторії-46450,0 грн (Ковпитська с/р)</t>
  </si>
  <si>
    <t xml:space="preserve"> Обласна Програма підтримки індивідуального житлового будівництва та розвитку особистого селянського господарства "Власний дім"</t>
  </si>
  <si>
    <t>На районну Програму перевезення та поховання померлих та загиблих осіб на території Чернігівського р-ну на 2018 рік (Гончарівська с/р -7500 грн, Седнівська с/р-6000,0 грн, Боромиківська с/р-1000,0 грн, Довжицька с/р-500,0 грн, Іванівська-6000,0 грн, Киїнська-8000,0 грн, Киселівська с/р-5000,0 грн, Мньовська-3000,0 грн, Пакульська с/р-4800,0 грн, Рудківська-2000,0 грн,Ст.Білоуська-3000,0 грн, Халявинська-3000,0 грн)</t>
  </si>
  <si>
    <t>Капремонт котельні  Рудківської ЗОШ (Рудківська с/р)</t>
  </si>
  <si>
    <t>На харчування учнів 1- 4 класів (Рудківська с/р-6550,0 грн, Слабинська с/р-12000,0 грн)</t>
  </si>
  <si>
    <t>Заміна теплотраси від котельні Кувечицької ЗОШ до приміщення ЗДО "Колосок"</t>
  </si>
  <si>
    <t>На оплату енергоносіїв (Терехівська с/р-10000,0 грн, Гончарівська с/р- 68500,0 грн)</t>
  </si>
  <si>
    <t>Для остаточного розрахунку із підрядником за придбані меблі для Киселівського НВК</t>
  </si>
  <si>
    <t>Заробітна плата з нарахуваннями по ЗОШ</t>
  </si>
  <si>
    <t xml:space="preserve">Фінансування Інклюзивно-ресурсного центру з вересня 2018 </t>
  </si>
  <si>
    <t>Капітальний ремонт котельні Рудківської ЗОШ</t>
  </si>
  <si>
    <t>Придбання вузлів обліку газу</t>
  </si>
  <si>
    <t>0100</t>
  </si>
  <si>
    <t>Предмети, матеріали</t>
  </si>
  <si>
    <t>9150</t>
  </si>
  <si>
    <t>Інша дотація на утримання ДНЗ</t>
  </si>
  <si>
    <t>Інша субвенція з обласного бюджету на виконання депутат.повноважень та поховання</t>
  </si>
  <si>
    <t>На районну Програму перевезення та поховання померлих та загиблих осіб на території Чернігівського р-ну на 2018 рік М.Коцюбинська-8000,0 грн,Мохнатинська с/р-2000,0 грн, Н.Білоуська с/р-10800,0 грн, Петушинська с/р-2000,0 грн, Роїщенська-1500,0 грн, Слабинська с/р-6000,0 грн,  Терехівська с/р-3500,0 грн, Хмільницька с/р-6000,0 грн)</t>
  </si>
  <si>
    <t>На проведення робіт з укріплення фундаменту та утеплення інженерних мереж у підвальному приміщенні Киїнської ЗОШ (Киїнська с/р)</t>
  </si>
  <si>
    <t>Повернення невикориствних коштів іншої субв. Олишівській сел/р на утримання Олишівської ЗОШ</t>
  </si>
  <si>
    <t>Капітальний ремонт технічного обладнання котельні Брусилівської ЗОШ (Киселівська с/р)</t>
  </si>
  <si>
    <t>ДЮСШ ФСТ "Колос"на зарплату у зв`язку із незабезпеченістю (Седнівська с/р-6775,44 грн)</t>
  </si>
  <si>
    <t>На харчування учнів 1- 4 класів Редьківського НВК  (Мохнатинська с/р-1650,0 грн)</t>
  </si>
  <si>
    <t>Придбання хіруогічного інструментарію</t>
  </si>
  <si>
    <t xml:space="preserve"> На Програму висвітлення діяльності Чернігівської районної державної адміністрації та Чернігівської районної ради в районній газеті «Наш край» на 2016-2020 роки </t>
  </si>
  <si>
    <t>Ремонт шкільних автобусів</t>
  </si>
  <si>
    <t>Інша субвенція Халявинській с/р на капремонт будинку Смирнової Т.Ю.-члена сім`ї загиблого ветерана війни</t>
  </si>
  <si>
    <t>Оплата електроенергії по бібліотекам</t>
  </si>
  <si>
    <t>Видатки на святкування</t>
  </si>
  <si>
    <t>Оплата теплопостачання інших закладів культури</t>
  </si>
  <si>
    <t>На районну Програму перевезення та поховання померлих та загиблих осіб на території Чернігівського р-ну на 2018 рік (Анисівська-6000,0 грн, Дніпровськас/р-8000,0 грн)</t>
  </si>
  <si>
    <t>Освітня субвенція</t>
  </si>
  <si>
    <t>На покриття незабезпеченості (Анисівська с/р- 50000,0 грн, Серединська с/р-10900,0 грн, Мньовська с/р-9700,0 грн, Ст.Білоуська с/р-27450,0 грн))</t>
  </si>
  <si>
    <r>
      <t xml:space="preserve">Поточний ремонт системи опалення 4-х поверхової будівлі районної ради    </t>
    </r>
    <r>
      <rPr>
        <b/>
        <i/>
        <sz val="20"/>
        <rFont val="Times New Roman"/>
        <family val="1"/>
      </rPr>
      <t xml:space="preserve"> </t>
    </r>
    <r>
      <rPr>
        <b/>
        <i/>
        <sz val="22"/>
        <rFont val="Times New Roman"/>
        <family val="1"/>
      </rPr>
      <t xml:space="preserve"> (рекомендовано провести за рахунок власних коштів спеціального фонду)</t>
    </r>
  </si>
  <si>
    <t>На харчування учнів 1- 4 класів Халявинськоїї ЗОШ   (Терехівська с/р)</t>
  </si>
  <si>
    <t>На харчування учнів 1- 4 класів Анисівської ЗОШ   (Анисівська с/р)</t>
  </si>
  <si>
    <t>Придбання стільців та посуду для шкільної їдальні Халявинської ЗОШ (Терехівська с/р)</t>
  </si>
  <si>
    <t>Районна Програма із забезпечення житлом дітей-сиріт, дітей, позбавлених батьківського піклування, та осіб з їх числа на 2016-2020 роки</t>
  </si>
  <si>
    <t>Інша субвенція Довжицькій с/р на житло динині сироті</t>
  </si>
  <si>
    <t>Повернення невикорист.коштів іншої субвенції  Олишівської с/р на утримання Олишівського БК</t>
  </si>
  <si>
    <t>На заробітну плату бібліотечній системі (Киїнська с/р-3500,0 грн, Боромиківська с/р-1500,0 грн, Хмільницька с/р-5500,0 грн, Ст.Білоуська с/р-3500,0 грн, Н.Білоуська-2600 грн)</t>
  </si>
  <si>
    <t>Інща дотація Пісківській с/р на утримання сільради, будинку культури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</si>
</sst>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.0\ &quot;грн.&quot;_-;\-* #,##0.0\ &quot;грн.&quot;_-;_-* &quot;-&quot;??\ &quot;грн.&quot;_-;_-@_-"/>
    <numFmt numFmtId="189" formatCode="_-* #,##0\ &quot;грн.&quot;_-;\-* #,##0\ &quot;грн.&quot;_-;_-* &quot;-&quot;??\ &quot;грн.&quot;_-;_-@_-"/>
    <numFmt numFmtId="190" formatCode="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"/>
    <numFmt numFmtId="197" formatCode="0.00000"/>
    <numFmt numFmtId="198" formatCode="0.0000"/>
    <numFmt numFmtId="199" formatCode="#,##0_ ;[Red]\-#,##0\ "/>
    <numFmt numFmtId="200" formatCode="0.00_ ;[Red]\-0.00\ "/>
    <numFmt numFmtId="201" formatCode="[$-422]d\ mmmm\ yyyy&quot; р.&quot;"/>
    <numFmt numFmtId="202" formatCode="#,##0.0"/>
  </numFmts>
  <fonts count="6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color indexed="61"/>
      <name val="Times New Roman"/>
      <family val="1"/>
    </font>
    <font>
      <sz val="12"/>
      <color indexed="61"/>
      <name val="Times New Roman"/>
      <family val="1"/>
    </font>
    <font>
      <sz val="14"/>
      <name val="Times New Roman"/>
      <family val="1"/>
    </font>
    <font>
      <b/>
      <sz val="14"/>
      <color indexed="61"/>
      <name val="Times New Roman"/>
      <family val="1"/>
    </font>
    <font>
      <sz val="14"/>
      <color indexed="10"/>
      <name val="Times New Roman"/>
      <family val="1"/>
    </font>
    <font>
      <b/>
      <sz val="20"/>
      <name val="Times New Roman"/>
      <family val="1"/>
    </font>
    <font>
      <b/>
      <sz val="16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10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sz val="16"/>
      <color indexed="61"/>
      <name val="Times New Roman"/>
      <family val="1"/>
    </font>
    <font>
      <sz val="16"/>
      <color indexed="61"/>
      <name val="Times New Roman"/>
      <family val="1"/>
    </font>
    <font>
      <sz val="16"/>
      <color indexed="10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61"/>
      <name val="Times New Roman"/>
      <family val="1"/>
    </font>
    <font>
      <sz val="18"/>
      <name val="Times New Roman"/>
      <family val="1"/>
    </font>
    <font>
      <b/>
      <i/>
      <sz val="16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i/>
      <sz val="18"/>
      <name val="Times New Roman"/>
      <family val="1"/>
    </font>
    <font>
      <i/>
      <sz val="18"/>
      <name val="Times New Roman"/>
      <family val="1"/>
    </font>
    <font>
      <sz val="20"/>
      <name val="Times New Roman"/>
      <family val="1"/>
    </font>
    <font>
      <b/>
      <sz val="18"/>
      <color indexed="8"/>
      <name val="Times New Roman"/>
      <family val="1"/>
    </font>
    <font>
      <b/>
      <i/>
      <sz val="20"/>
      <name val="Times New Roman"/>
      <family val="1"/>
    </font>
    <font>
      <b/>
      <i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34" borderId="0" xfId="0" applyFont="1" applyFill="1" applyBorder="1" applyAlignment="1">
      <alignment vertical="top"/>
    </xf>
    <xf numFmtId="0" fontId="8" fillId="34" borderId="0" xfId="0" applyFont="1" applyFill="1" applyBorder="1" applyAlignment="1">
      <alignment horizontal="center" vertical="top"/>
    </xf>
    <xf numFmtId="9" fontId="8" fillId="34" borderId="0" xfId="0" applyNumberFormat="1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190" fontId="1" fillId="0" borderId="0" xfId="0" applyNumberFormat="1" applyFont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 wrapText="1"/>
    </xf>
    <xf numFmtId="0" fontId="17" fillId="0" borderId="0" xfId="0" applyFont="1" applyBorder="1" applyAlignment="1">
      <alignment horizontal="center" vertical="top"/>
    </xf>
    <xf numFmtId="0" fontId="17" fillId="34" borderId="0" xfId="0" applyFont="1" applyFill="1" applyBorder="1" applyAlignment="1">
      <alignment horizontal="center" vertical="top"/>
    </xf>
    <xf numFmtId="9" fontId="17" fillId="34" borderId="0" xfId="0" applyNumberFormat="1" applyFont="1" applyFill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horizontal="center" vertical="top"/>
    </xf>
    <xf numFmtId="4" fontId="15" fillId="0" borderId="10" xfId="0" applyNumberFormat="1" applyFont="1" applyFill="1" applyBorder="1" applyAlignment="1">
      <alignment horizontal="center" vertical="top"/>
    </xf>
    <xf numFmtId="4" fontId="16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vertical="top"/>
    </xf>
    <xf numFmtId="0" fontId="22" fillId="0" borderId="0" xfId="0" applyFont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Border="1" applyAlignment="1">
      <alignment vertical="top"/>
    </xf>
    <xf numFmtId="0" fontId="4" fillId="0" borderId="11" xfId="0" applyFont="1" applyFill="1" applyBorder="1" applyAlignment="1">
      <alignment horizontal="left" vertical="top"/>
    </xf>
    <xf numFmtId="0" fontId="15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5" fillId="35" borderId="0" xfId="0" applyFont="1" applyFill="1" applyAlignment="1">
      <alignment vertical="top"/>
    </xf>
    <xf numFmtId="0" fontId="20" fillId="33" borderId="10" xfId="0" applyFont="1" applyFill="1" applyBorder="1" applyAlignment="1">
      <alignment vertical="top"/>
    </xf>
    <xf numFmtId="0" fontId="3" fillId="35" borderId="0" xfId="0" applyFont="1" applyFill="1" applyAlignment="1">
      <alignment vertical="top"/>
    </xf>
    <xf numFmtId="0" fontId="3" fillId="36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0" fontId="19" fillId="35" borderId="0" xfId="0" applyFont="1" applyFill="1" applyAlignment="1">
      <alignment vertical="top"/>
    </xf>
    <xf numFmtId="0" fontId="20" fillId="33" borderId="10" xfId="0" applyFont="1" applyFill="1" applyBorder="1" applyAlignment="1">
      <alignment horizontal="left" vertical="top" wrapText="1"/>
    </xf>
    <xf numFmtId="4" fontId="20" fillId="33" borderId="10" xfId="0" applyNumberFormat="1" applyFont="1" applyFill="1" applyBorder="1" applyAlignment="1">
      <alignment horizontal="center" vertical="top"/>
    </xf>
    <xf numFmtId="0" fontId="20" fillId="37" borderId="0" xfId="0" applyFont="1" applyFill="1" applyAlignment="1">
      <alignment vertical="top"/>
    </xf>
    <xf numFmtId="0" fontId="20" fillId="33" borderId="10" xfId="0" applyFont="1" applyFill="1" applyBorder="1" applyAlignment="1">
      <alignment horizontal="center" vertical="top"/>
    </xf>
    <xf numFmtId="0" fontId="20" fillId="33" borderId="10" xfId="0" applyFont="1" applyFill="1" applyBorder="1" applyAlignment="1">
      <alignment horizontal="left" vertical="top"/>
    </xf>
    <xf numFmtId="0" fontId="21" fillId="37" borderId="0" xfId="0" applyFont="1" applyFill="1" applyAlignment="1">
      <alignment horizontal="center" vertical="top"/>
    </xf>
    <xf numFmtId="0" fontId="20" fillId="33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25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4" fontId="20" fillId="0" borderId="10" xfId="0" applyNumberFormat="1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center" vertical="top"/>
    </xf>
    <xf numFmtId="4" fontId="20" fillId="0" borderId="10" xfId="0" applyNumberFormat="1" applyFont="1" applyFill="1" applyBorder="1" applyAlignment="1">
      <alignment horizontal="center" vertical="top" wrapText="1"/>
    </xf>
    <xf numFmtId="3" fontId="20" fillId="0" borderId="10" xfId="0" applyNumberFormat="1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left" vertical="top" wrapText="1"/>
    </xf>
    <xf numFmtId="202" fontId="20" fillId="0" borderId="10" xfId="0" applyNumberFormat="1" applyFont="1" applyFill="1" applyBorder="1" applyAlignment="1">
      <alignment horizontal="center" vertical="top"/>
    </xf>
    <xf numFmtId="0" fontId="20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/>
    </xf>
    <xf numFmtId="4" fontId="5" fillId="0" borderId="0" xfId="0" applyNumberFormat="1" applyFont="1" applyAlignment="1">
      <alignment horizontal="center" vertical="top"/>
    </xf>
    <xf numFmtId="0" fontId="25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4" fontId="27" fillId="33" borderId="10" xfId="0" applyNumberFormat="1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vertical="top" wrapText="1"/>
    </xf>
    <xf numFmtId="4" fontId="2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4" fontId="20" fillId="33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 wrapText="1"/>
    </xf>
    <xf numFmtId="4" fontId="27" fillId="0" borderId="10" xfId="0" applyNumberFormat="1" applyFont="1" applyFill="1" applyBorder="1" applyAlignment="1">
      <alignment horizontal="center" vertical="top" wrapText="1"/>
    </xf>
    <xf numFmtId="4" fontId="27" fillId="0" borderId="10" xfId="0" applyNumberFormat="1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vertical="top"/>
    </xf>
    <xf numFmtId="0" fontId="20" fillId="35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21" fillId="0" borderId="0" xfId="0" applyFont="1" applyFill="1" applyAlignment="1">
      <alignment vertical="top"/>
    </xf>
    <xf numFmtId="49" fontId="20" fillId="33" borderId="10" xfId="0" applyNumberFormat="1" applyFont="1" applyFill="1" applyBorder="1" applyAlignment="1">
      <alignment vertical="top" wrapText="1"/>
    </xf>
    <xf numFmtId="0" fontId="21" fillId="35" borderId="0" xfId="0" applyFont="1" applyFill="1" applyAlignment="1">
      <alignment vertical="top"/>
    </xf>
    <xf numFmtId="0" fontId="20" fillId="0" borderId="0" xfId="0" applyFont="1" applyFill="1" applyAlignment="1">
      <alignment vertical="top"/>
    </xf>
    <xf numFmtId="3" fontId="20" fillId="33" borderId="10" xfId="0" applyNumberFormat="1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top"/>
    </xf>
    <xf numFmtId="0" fontId="6" fillId="38" borderId="0" xfId="0" applyFont="1" applyFill="1" applyBorder="1" applyAlignment="1">
      <alignment horizontal="center" vertical="top"/>
    </xf>
    <xf numFmtId="0" fontId="1" fillId="38" borderId="0" xfId="0" applyFont="1" applyFill="1" applyAlignment="1">
      <alignment horizontal="center" vertical="top"/>
    </xf>
    <xf numFmtId="4" fontId="20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4" fontId="20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4" fontId="15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 wrapText="1"/>
    </xf>
    <xf numFmtId="4" fontId="23" fillId="0" borderId="10" xfId="0" applyNumberFormat="1" applyFont="1" applyFill="1" applyBorder="1" applyAlignment="1">
      <alignment horizontal="center" vertical="top" wrapText="1"/>
    </xf>
    <xf numFmtId="0" fontId="14" fillId="33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21" fillId="33" borderId="0" xfId="0" applyFont="1" applyFill="1" applyAlignment="1">
      <alignment vertical="top"/>
    </xf>
    <xf numFmtId="4" fontId="20" fillId="36" borderId="10" xfId="0" applyNumberFormat="1" applyFont="1" applyFill="1" applyBorder="1" applyAlignment="1">
      <alignment horizontal="center" vertical="top"/>
    </xf>
    <xf numFmtId="4" fontId="20" fillId="36" borderId="10" xfId="0" applyNumberFormat="1" applyFont="1" applyFill="1" applyBorder="1" applyAlignment="1">
      <alignment horizontal="center" vertical="top"/>
    </xf>
    <xf numFmtId="0" fontId="11" fillId="33" borderId="0" xfId="0" applyFont="1" applyFill="1" applyAlignment="1">
      <alignment vertical="top"/>
    </xf>
    <xf numFmtId="202" fontId="20" fillId="36" borderId="10" xfId="0" applyNumberFormat="1" applyFont="1" applyFill="1" applyBorder="1" applyAlignment="1">
      <alignment horizontal="center" vertical="top"/>
    </xf>
    <xf numFmtId="0" fontId="1" fillId="36" borderId="0" xfId="0" applyFont="1" applyFill="1" applyAlignment="1">
      <alignment vertical="top"/>
    </xf>
    <xf numFmtId="4" fontId="4" fillId="33" borderId="10" xfId="0" applyNumberFormat="1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horizontal="center" vertical="top" wrapText="1"/>
    </xf>
    <xf numFmtId="202" fontId="20" fillId="33" borderId="10" xfId="0" applyNumberFormat="1" applyFont="1" applyFill="1" applyBorder="1" applyAlignment="1">
      <alignment horizontal="center" vertical="top"/>
    </xf>
    <xf numFmtId="202" fontId="3" fillId="33" borderId="10" xfId="0" applyNumberFormat="1" applyFont="1" applyFill="1" applyBorder="1" applyAlignment="1">
      <alignment horizontal="center" vertical="top"/>
    </xf>
    <xf numFmtId="202" fontId="23" fillId="0" borderId="10" xfId="0" applyNumberFormat="1" applyFont="1" applyFill="1" applyBorder="1" applyAlignment="1">
      <alignment horizontal="center" vertical="top"/>
    </xf>
    <xf numFmtId="202" fontId="20" fillId="0" borderId="10" xfId="0" applyNumberFormat="1" applyFont="1" applyFill="1" applyBorder="1" applyAlignment="1">
      <alignment horizontal="center" vertical="top" wrapText="1"/>
    </xf>
    <xf numFmtId="202" fontId="3" fillId="33" borderId="10" xfId="0" applyNumberFormat="1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top" wrapText="1"/>
    </xf>
    <xf numFmtId="3" fontId="20" fillId="0" borderId="10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7" fillId="0" borderId="0" xfId="0" applyFont="1" applyBorder="1" applyAlignment="1">
      <alignment vertical="top"/>
    </xf>
    <xf numFmtId="190" fontId="22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202" fontId="3" fillId="39" borderId="10" xfId="0" applyNumberFormat="1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/>
    </xf>
    <xf numFmtId="0" fontId="20" fillId="39" borderId="10" xfId="0" applyFont="1" applyFill="1" applyBorder="1" applyAlignment="1">
      <alignment vertical="top" wrapText="1"/>
    </xf>
    <xf numFmtId="4" fontId="3" fillId="39" borderId="10" xfId="0" applyNumberFormat="1" applyFont="1" applyFill="1" applyBorder="1" applyAlignment="1">
      <alignment horizontal="center" vertical="top" wrapText="1"/>
    </xf>
    <xf numFmtId="4" fontId="20" fillId="39" borderId="10" xfId="0" applyNumberFormat="1" applyFont="1" applyFill="1" applyBorder="1" applyAlignment="1">
      <alignment horizontal="center" vertical="top"/>
    </xf>
    <xf numFmtId="4" fontId="3" fillId="39" borderId="10" xfId="0" applyNumberFormat="1" applyFont="1" applyFill="1" applyBorder="1" applyAlignment="1">
      <alignment horizontal="center" vertical="top"/>
    </xf>
    <xf numFmtId="4" fontId="3" fillId="39" borderId="10" xfId="0" applyNumberFormat="1" applyFont="1" applyFill="1" applyBorder="1" applyAlignment="1">
      <alignment horizontal="center" vertical="top" wrapText="1"/>
    </xf>
    <xf numFmtId="4" fontId="23" fillId="39" borderId="10" xfId="0" applyNumberFormat="1" applyFont="1" applyFill="1" applyBorder="1" applyAlignment="1">
      <alignment horizontal="center" vertical="top"/>
    </xf>
    <xf numFmtId="0" fontId="11" fillId="39" borderId="0" xfId="0" applyFont="1" applyFill="1" applyAlignment="1">
      <alignment vertical="top"/>
    </xf>
    <xf numFmtId="4" fontId="15" fillId="39" borderId="10" xfId="0" applyNumberFormat="1" applyFont="1" applyFill="1" applyBorder="1" applyAlignment="1">
      <alignment horizontal="center" vertical="top" wrapText="1"/>
    </xf>
    <xf numFmtId="4" fontId="15" fillId="39" borderId="10" xfId="0" applyNumberFormat="1" applyFont="1" applyFill="1" applyBorder="1" applyAlignment="1">
      <alignment horizontal="center" vertical="top"/>
    </xf>
    <xf numFmtId="202" fontId="15" fillId="39" borderId="10" xfId="0" applyNumberFormat="1" applyFont="1" applyFill="1" applyBorder="1" applyAlignment="1">
      <alignment horizontal="center" vertical="top" wrapText="1"/>
    </xf>
    <xf numFmtId="4" fontId="15" fillId="39" borderId="10" xfId="0" applyNumberFormat="1" applyFont="1" applyFill="1" applyBorder="1" applyAlignment="1">
      <alignment horizontal="center" vertical="top" wrapText="1"/>
    </xf>
    <xf numFmtId="0" fontId="7" fillId="39" borderId="10" xfId="0" applyFont="1" applyFill="1" applyBorder="1" applyAlignment="1">
      <alignment vertical="top"/>
    </xf>
    <xf numFmtId="0" fontId="9" fillId="39" borderId="0" xfId="0" applyFont="1" applyFill="1" applyAlignment="1">
      <alignment vertical="top"/>
    </xf>
    <xf numFmtId="0" fontId="20" fillId="39" borderId="10" xfId="0" applyFont="1" applyFill="1" applyBorder="1" applyAlignment="1" quotePrefix="1">
      <alignment vertical="top" wrapText="1"/>
    </xf>
    <xf numFmtId="0" fontId="3" fillId="39" borderId="10" xfId="0" applyFont="1" applyFill="1" applyBorder="1" applyAlignment="1">
      <alignment horizontal="center" vertical="top"/>
    </xf>
    <xf numFmtId="49" fontId="20" fillId="39" borderId="10" xfId="0" applyNumberFormat="1" applyFont="1" applyFill="1" applyBorder="1" applyAlignment="1">
      <alignment vertical="top" wrapText="1"/>
    </xf>
    <xf numFmtId="4" fontId="23" fillId="39" borderId="10" xfId="0" applyNumberFormat="1" applyFont="1" applyFill="1" applyBorder="1" applyAlignment="1">
      <alignment horizontal="center" vertical="top" wrapText="1"/>
    </xf>
    <xf numFmtId="3" fontId="23" fillId="39" borderId="10" xfId="0" applyNumberFormat="1" applyFont="1" applyFill="1" applyBorder="1" applyAlignment="1">
      <alignment horizontal="center" vertical="top" wrapText="1"/>
    </xf>
    <xf numFmtId="0" fontId="21" fillId="39" borderId="0" xfId="0" applyFont="1" applyFill="1" applyAlignment="1">
      <alignment vertical="top"/>
    </xf>
    <xf numFmtId="0" fontId="23" fillId="39" borderId="10" xfId="0" applyFont="1" applyFill="1" applyBorder="1" applyAlignment="1">
      <alignment horizontal="left" vertical="top" wrapText="1"/>
    </xf>
    <xf numFmtId="0" fontId="15" fillId="39" borderId="10" xfId="0" applyFont="1" applyFill="1" applyBorder="1" applyAlignment="1">
      <alignment horizontal="center" vertical="top"/>
    </xf>
    <xf numFmtId="4" fontId="23" fillId="39" borderId="10" xfId="0" applyNumberFormat="1" applyFont="1" applyFill="1" applyBorder="1" applyAlignment="1">
      <alignment horizontal="center" vertical="top"/>
    </xf>
    <xf numFmtId="4" fontId="23" fillId="39" borderId="10" xfId="0" applyNumberFormat="1" applyFont="1" applyFill="1" applyBorder="1" applyAlignment="1">
      <alignment vertical="top"/>
    </xf>
    <xf numFmtId="0" fontId="15" fillId="39" borderId="0" xfId="0" applyFont="1" applyFill="1" applyAlignment="1">
      <alignment vertical="top"/>
    </xf>
    <xf numFmtId="0" fontId="20" fillId="39" borderId="10" xfId="0" applyFont="1" applyFill="1" applyBorder="1" applyAlignment="1">
      <alignment horizontal="left" vertical="top" wrapText="1"/>
    </xf>
    <xf numFmtId="3" fontId="20" fillId="39" borderId="10" xfId="0" applyNumberFormat="1" applyFont="1" applyFill="1" applyBorder="1" applyAlignment="1">
      <alignment horizontal="center" vertical="top"/>
    </xf>
    <xf numFmtId="0" fontId="20" fillId="39" borderId="10" xfId="0" applyFont="1" applyFill="1" applyBorder="1" applyAlignment="1">
      <alignment horizontal="center" vertical="top"/>
    </xf>
    <xf numFmtId="202" fontId="20" fillId="39" borderId="10" xfId="0" applyNumberFormat="1" applyFont="1" applyFill="1" applyBorder="1" applyAlignment="1">
      <alignment horizontal="center" vertical="top"/>
    </xf>
    <xf numFmtId="4" fontId="20" fillId="39" borderId="10" xfId="0" applyNumberFormat="1" applyFont="1" applyFill="1" applyBorder="1" applyAlignment="1">
      <alignment horizontal="center" vertical="top"/>
    </xf>
    <xf numFmtId="0" fontId="23" fillId="39" borderId="10" xfId="0" applyFont="1" applyFill="1" applyBorder="1" applyAlignment="1">
      <alignment vertical="top"/>
    </xf>
    <xf numFmtId="0" fontId="1" fillId="39" borderId="0" xfId="0" applyFont="1" applyFill="1" applyAlignment="1">
      <alignment vertical="top"/>
    </xf>
    <xf numFmtId="0" fontId="7" fillId="39" borderId="10" xfId="0" applyFont="1" applyFill="1" applyBorder="1" applyAlignment="1">
      <alignment horizontal="center" vertical="top"/>
    </xf>
    <xf numFmtId="0" fontId="23" fillId="39" borderId="10" xfId="0" applyFont="1" applyFill="1" applyBorder="1" applyAlignment="1">
      <alignment vertical="top" wrapText="1"/>
    </xf>
    <xf numFmtId="4" fontId="29" fillId="39" borderId="10" xfId="0" applyNumberFormat="1" applyFont="1" applyFill="1" applyBorder="1" applyAlignment="1">
      <alignment horizontal="center" vertical="top"/>
    </xf>
    <xf numFmtId="4" fontId="16" fillId="39" borderId="10" xfId="0" applyNumberFormat="1" applyFont="1" applyFill="1" applyBorder="1" applyAlignment="1">
      <alignment horizontal="center" vertical="top"/>
    </xf>
    <xf numFmtId="4" fontId="15" fillId="39" borderId="10" xfId="0" applyNumberFormat="1" applyFont="1" applyFill="1" applyBorder="1" applyAlignment="1">
      <alignment horizontal="center" vertical="top"/>
    </xf>
    <xf numFmtId="0" fontId="15" fillId="39" borderId="10" xfId="0" applyFont="1" applyFill="1" applyBorder="1" applyAlignment="1">
      <alignment vertical="top" wrapText="1"/>
    </xf>
    <xf numFmtId="4" fontId="20" fillId="39" borderId="10" xfId="0" applyNumberFormat="1" applyFont="1" applyFill="1" applyBorder="1" applyAlignment="1">
      <alignment horizontal="center" vertical="top" wrapText="1"/>
    </xf>
    <xf numFmtId="3" fontId="23" fillId="39" borderId="10" xfId="0" applyNumberFormat="1" applyFont="1" applyFill="1" applyBorder="1" applyAlignment="1">
      <alignment horizontal="center" vertical="top"/>
    </xf>
    <xf numFmtId="0" fontId="7" fillId="39" borderId="0" xfId="0" applyFont="1" applyFill="1" applyAlignment="1">
      <alignment vertical="top"/>
    </xf>
    <xf numFmtId="0" fontId="20" fillId="39" borderId="10" xfId="0" applyFont="1" applyFill="1" applyBorder="1" applyAlignment="1">
      <alignment wrapText="1"/>
    </xf>
    <xf numFmtId="0" fontId="15" fillId="39" borderId="10" xfId="0" applyFont="1" applyFill="1" applyBorder="1" applyAlignment="1">
      <alignment vertical="top"/>
    </xf>
    <xf numFmtId="0" fontId="29" fillId="39" borderId="10" xfId="0" applyFont="1" applyFill="1" applyBorder="1" applyAlignment="1">
      <alignment vertical="center" wrapText="1"/>
    </xf>
    <xf numFmtId="4" fontId="10" fillId="39" borderId="10" xfId="0" applyNumberFormat="1" applyFont="1" applyFill="1" applyBorder="1" applyAlignment="1">
      <alignment horizontal="center" vertical="top"/>
    </xf>
    <xf numFmtId="4" fontId="23" fillId="39" borderId="10" xfId="0" applyNumberFormat="1" applyFont="1" applyFill="1" applyBorder="1" applyAlignment="1">
      <alignment horizontal="center" vertical="top" wrapText="1"/>
    </xf>
    <xf numFmtId="202" fontId="23" fillId="39" borderId="10" xfId="0" applyNumberFormat="1" applyFont="1" applyFill="1" applyBorder="1" applyAlignment="1">
      <alignment horizontal="center" vertical="top" wrapText="1"/>
    </xf>
    <xf numFmtId="4" fontId="28" fillId="39" borderId="10" xfId="0" applyNumberFormat="1" applyFont="1" applyFill="1" applyBorder="1" applyAlignment="1">
      <alignment horizontal="center" vertical="top" wrapText="1"/>
    </xf>
    <xf numFmtId="4" fontId="28" fillId="39" borderId="10" xfId="0" applyNumberFormat="1" applyFont="1" applyFill="1" applyBorder="1" applyAlignment="1">
      <alignment horizontal="center" vertical="top"/>
    </xf>
    <xf numFmtId="0" fontId="14" fillId="39" borderId="0" xfId="0" applyFont="1" applyFill="1" applyAlignment="1">
      <alignment vertical="top"/>
    </xf>
    <xf numFmtId="0" fontId="23" fillId="39" borderId="10" xfId="0" applyFont="1" applyFill="1" applyBorder="1" applyAlignment="1">
      <alignment horizontal="center" vertical="top"/>
    </xf>
    <xf numFmtId="0" fontId="23" fillId="39" borderId="0" xfId="0" applyFont="1" applyFill="1" applyAlignment="1">
      <alignment wrapText="1"/>
    </xf>
    <xf numFmtId="202" fontId="23" fillId="39" borderId="10" xfId="0" applyNumberFormat="1" applyFont="1" applyFill="1" applyBorder="1" applyAlignment="1">
      <alignment horizontal="center" vertical="top"/>
    </xf>
    <xf numFmtId="0" fontId="4" fillId="39" borderId="10" xfId="0" applyFont="1" applyFill="1" applyBorder="1" applyAlignment="1">
      <alignment horizontal="center" vertical="top" wrapText="1"/>
    </xf>
    <xf numFmtId="4" fontId="20" fillId="39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/>
    </xf>
    <xf numFmtId="0" fontId="23" fillId="0" borderId="0" xfId="0" applyNumberFormat="1" applyFont="1" applyFill="1" applyAlignment="1">
      <alignment vertical="top" wrapText="1"/>
    </xf>
    <xf numFmtId="202" fontId="23" fillId="39" borderId="10" xfId="0" applyNumberFormat="1" applyFont="1" applyFill="1" applyBorder="1" applyAlignment="1">
      <alignment vertical="top"/>
    </xf>
    <xf numFmtId="0" fontId="19" fillId="39" borderId="0" xfId="0" applyFont="1" applyFill="1" applyAlignment="1">
      <alignment vertical="top"/>
    </xf>
    <xf numFmtId="202" fontId="20" fillId="33" borderId="10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202" fontId="3" fillId="33" borderId="10" xfId="0" applyNumberFormat="1" applyFont="1" applyFill="1" applyBorder="1" applyAlignment="1">
      <alignment horizontal="center" vertical="top"/>
    </xf>
    <xf numFmtId="0" fontId="20" fillId="39" borderId="0" xfId="0" applyFont="1" applyFill="1" applyAlignment="1">
      <alignment vertical="top"/>
    </xf>
    <xf numFmtId="202" fontId="20" fillId="39" borderId="10" xfId="0" applyNumberFormat="1" applyFont="1" applyFill="1" applyBorder="1" applyAlignment="1">
      <alignment horizontal="center" vertical="top" wrapText="1"/>
    </xf>
    <xf numFmtId="0" fontId="20" fillId="39" borderId="0" xfId="0" applyNumberFormat="1" applyFont="1" applyFill="1" applyAlignment="1">
      <alignment vertical="top" wrapText="1"/>
    </xf>
    <xf numFmtId="4" fontId="3" fillId="39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202" fontId="20" fillId="39" borderId="10" xfId="0" applyNumberFormat="1" applyFont="1" applyFill="1" applyBorder="1" applyAlignment="1">
      <alignment vertical="top"/>
    </xf>
    <xf numFmtId="0" fontId="23" fillId="39" borderId="0" xfId="0" applyFont="1" applyFill="1" applyAlignment="1">
      <alignment vertical="top"/>
    </xf>
    <xf numFmtId="0" fontId="15" fillId="0" borderId="10" xfId="0" applyFont="1" applyFill="1" applyBorder="1" applyAlignment="1">
      <alignment vertical="top" wrapText="1"/>
    </xf>
    <xf numFmtId="4" fontId="15" fillId="0" borderId="10" xfId="0" applyNumberFormat="1" applyFont="1" applyFill="1" applyBorder="1" applyAlignment="1">
      <alignment horizontal="center" vertical="top" wrapText="1"/>
    </xf>
    <xf numFmtId="4" fontId="29" fillId="0" borderId="10" xfId="0" applyNumberFormat="1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top"/>
    </xf>
    <xf numFmtId="4" fontId="4" fillId="39" borderId="10" xfId="0" applyNumberFormat="1" applyFont="1" applyFill="1" applyBorder="1" applyAlignment="1">
      <alignment horizontal="center" vertical="top"/>
    </xf>
    <xf numFmtId="0" fontId="3" fillId="39" borderId="0" xfId="0" applyFont="1" applyFill="1" applyAlignment="1">
      <alignment vertical="top"/>
    </xf>
    <xf numFmtId="0" fontId="3" fillId="39" borderId="10" xfId="0" applyNumberFormat="1" applyFont="1" applyFill="1" applyBorder="1" applyAlignment="1">
      <alignment vertical="top" wrapText="1"/>
    </xf>
    <xf numFmtId="0" fontId="3" fillId="39" borderId="10" xfId="0" applyFont="1" applyFill="1" applyBorder="1" applyAlignment="1">
      <alignment vertical="top" wrapText="1"/>
    </xf>
    <xf numFmtId="202" fontId="3" fillId="39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 wrapText="1"/>
    </xf>
    <xf numFmtId="0" fontId="15" fillId="0" borderId="10" xfId="0" applyFont="1" applyFill="1" applyBorder="1" applyAlignment="1">
      <alignment vertical="top"/>
    </xf>
    <xf numFmtId="202" fontId="15" fillId="0" borderId="1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Alignment="1">
      <alignment horizontal="left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10" fillId="39" borderId="12" xfId="0" applyFont="1" applyFill="1" applyBorder="1" applyAlignment="1">
      <alignment horizontal="center" vertical="top"/>
    </xf>
    <xf numFmtId="0" fontId="10" fillId="39" borderId="17" xfId="0" applyFont="1" applyFill="1" applyBorder="1" applyAlignment="1">
      <alignment horizontal="center" vertical="top"/>
    </xf>
    <xf numFmtId="0" fontId="10" fillId="39" borderId="18" xfId="0" applyFont="1" applyFill="1" applyBorder="1" applyAlignment="1">
      <alignment horizontal="center" vertical="top"/>
    </xf>
    <xf numFmtId="0" fontId="15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20" fillId="0" borderId="19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63"/>
  <sheetViews>
    <sheetView tabSelected="1" view="pageBreakPreview" zoomScale="50" zoomScaleNormal="57" zoomScaleSheetLayoutView="50" zoomScalePageLayoutView="0" workbookViewId="0" topLeftCell="A7">
      <pane xSplit="2" ySplit="6" topLeftCell="L13" activePane="bottomRight" state="frozen"/>
      <selection pane="topLeft" activeCell="A7" sqref="A7"/>
      <selection pane="topRight" activeCell="C7" sqref="C7"/>
      <selection pane="bottomLeft" activeCell="A13" sqref="A13"/>
      <selection pane="bottomRight" activeCell="N157" sqref="N157"/>
    </sheetView>
  </sheetViews>
  <sheetFormatPr defaultColWidth="9.00390625" defaultRowHeight="12.75"/>
  <cols>
    <col min="1" max="1" width="17.125" style="2" customWidth="1"/>
    <col min="2" max="2" width="79.25390625" style="2" customWidth="1"/>
    <col min="3" max="3" width="21.125" style="31" customWidth="1"/>
    <col min="4" max="4" width="21.625" style="31" customWidth="1"/>
    <col min="5" max="5" width="17.125" style="31" customWidth="1"/>
    <col min="6" max="6" width="21.125" style="31" customWidth="1"/>
    <col min="7" max="7" width="16.875" style="31" customWidth="1"/>
    <col min="8" max="8" width="16.375" style="17" customWidth="1"/>
    <col min="9" max="9" width="0.37109375" style="17" hidden="1" customWidth="1"/>
    <col min="10" max="10" width="19.00390625" style="17" hidden="1" customWidth="1"/>
    <col min="11" max="12" width="19.00390625" style="17" customWidth="1"/>
    <col min="13" max="14" width="18.875" style="17" customWidth="1"/>
    <col min="15" max="15" width="19.125" style="101" customWidth="1"/>
    <col min="16" max="16" width="20.75390625" style="17" customWidth="1"/>
    <col min="17" max="18" width="17.625" style="17" customWidth="1"/>
    <col min="19" max="19" width="16.375" style="17" customWidth="1"/>
    <col min="20" max="20" width="18.25390625" style="17" customWidth="1"/>
    <col min="21" max="21" width="23.625" style="17" customWidth="1"/>
    <col min="22" max="16384" width="9.125" style="2" customWidth="1"/>
  </cols>
  <sheetData>
    <row r="1" spans="1:21" s="23" customFormat="1" ht="30.75" customHeight="1">
      <c r="A1" s="237" t="s">
        <v>42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103"/>
      <c r="O1" s="111"/>
      <c r="Q1" s="65"/>
      <c r="R1" s="65"/>
      <c r="T1" s="23" t="s">
        <v>20</v>
      </c>
      <c r="U1" s="65"/>
    </row>
    <row r="2" spans="1:21" s="23" customFormat="1" ht="21" customHeight="1" thickBo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103"/>
      <c r="O2" s="111"/>
      <c r="T2" s="23" t="s">
        <v>21</v>
      </c>
      <c r="U2" s="65"/>
    </row>
    <row r="3" spans="1:21" s="23" customFormat="1" ht="49.5" customHeight="1" thickBot="1">
      <c r="A3" s="216" t="s">
        <v>114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O3" s="111"/>
      <c r="T3" s="43" t="s">
        <v>116</v>
      </c>
      <c r="U3" s="75"/>
    </row>
    <row r="4" spans="1:21" s="23" customFormat="1" ht="21.75" customHeight="1">
      <c r="A4" s="240"/>
      <c r="B4" s="240"/>
      <c r="C4" s="240"/>
      <c r="D4" s="240"/>
      <c r="E4" s="80"/>
      <c r="F4" s="80"/>
      <c r="G4" s="80"/>
      <c r="O4" s="111"/>
      <c r="U4" s="65"/>
    </row>
    <row r="5" spans="1:15" s="23" customFormat="1" ht="39.75" customHeight="1">
      <c r="A5" s="238" t="s">
        <v>115</v>
      </c>
      <c r="B5" s="238"/>
      <c r="C5" s="238"/>
      <c r="D5" s="238"/>
      <c r="E5" s="79"/>
      <c r="F5" s="79"/>
      <c r="G5" s="79"/>
      <c r="O5" s="111"/>
    </row>
    <row r="6" spans="1:15" s="23" customFormat="1" ht="21" customHeight="1">
      <c r="A6" s="63"/>
      <c r="B6" s="62"/>
      <c r="C6" s="62"/>
      <c r="O6" s="111"/>
    </row>
    <row r="7" spans="1:21" s="23" customFormat="1" ht="42.75" customHeight="1">
      <c r="A7" s="239" t="s">
        <v>113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</row>
    <row r="8" spans="1:21" ht="58.5" customHeight="1">
      <c r="A8" s="231" t="s">
        <v>15</v>
      </c>
      <c r="B8" s="234" t="s">
        <v>4</v>
      </c>
      <c r="C8" s="217" t="s">
        <v>19</v>
      </c>
      <c r="D8" s="217" t="s">
        <v>38</v>
      </c>
      <c r="E8" s="230" t="s">
        <v>22</v>
      </c>
      <c r="F8" s="230"/>
      <c r="G8" s="230"/>
      <c r="H8" s="230" t="s">
        <v>18</v>
      </c>
      <c r="I8" s="230" t="s">
        <v>17</v>
      </c>
      <c r="J8" s="61"/>
      <c r="K8" s="230" t="s">
        <v>23</v>
      </c>
      <c r="L8" s="230"/>
      <c r="M8" s="230"/>
      <c r="N8" s="217" t="s">
        <v>47</v>
      </c>
      <c r="O8" s="241" t="s">
        <v>11</v>
      </c>
      <c r="P8" s="217" t="s">
        <v>33</v>
      </c>
      <c r="Q8" s="217" t="s">
        <v>40</v>
      </c>
      <c r="R8" s="217" t="s">
        <v>139</v>
      </c>
      <c r="S8" s="217" t="s">
        <v>41</v>
      </c>
      <c r="T8" s="223" t="s">
        <v>46</v>
      </c>
      <c r="U8" s="220" t="s">
        <v>32</v>
      </c>
    </row>
    <row r="9" spans="1:21" ht="78.75" customHeight="1">
      <c r="A9" s="232"/>
      <c r="B9" s="235"/>
      <c r="C9" s="218"/>
      <c r="D9" s="218"/>
      <c r="E9" s="230" t="s">
        <v>24</v>
      </c>
      <c r="F9" s="230" t="s">
        <v>25</v>
      </c>
      <c r="G9" s="230" t="s">
        <v>26</v>
      </c>
      <c r="H9" s="230"/>
      <c r="I9" s="230"/>
      <c r="J9" s="126" t="s">
        <v>13</v>
      </c>
      <c r="K9" s="230" t="s">
        <v>31</v>
      </c>
      <c r="L9" s="230"/>
      <c r="M9" s="230"/>
      <c r="N9" s="218"/>
      <c r="O9" s="242"/>
      <c r="P9" s="218"/>
      <c r="Q9" s="218"/>
      <c r="R9" s="218"/>
      <c r="S9" s="218"/>
      <c r="T9" s="224"/>
      <c r="U9" s="221"/>
    </row>
    <row r="10" spans="1:21" ht="78.75" customHeight="1">
      <c r="A10" s="233"/>
      <c r="B10" s="236"/>
      <c r="C10" s="219"/>
      <c r="D10" s="219"/>
      <c r="E10" s="230"/>
      <c r="F10" s="230"/>
      <c r="G10" s="230"/>
      <c r="H10" s="230"/>
      <c r="I10" s="59"/>
      <c r="J10" s="126"/>
      <c r="K10" s="61" t="s">
        <v>24</v>
      </c>
      <c r="L10" s="59" t="s">
        <v>25</v>
      </c>
      <c r="M10" s="59" t="s">
        <v>26</v>
      </c>
      <c r="N10" s="219"/>
      <c r="O10" s="243"/>
      <c r="P10" s="219"/>
      <c r="Q10" s="219"/>
      <c r="R10" s="219"/>
      <c r="S10" s="219"/>
      <c r="T10" s="225"/>
      <c r="U10" s="222"/>
    </row>
    <row r="11" spans="1:21" ht="15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6</v>
      </c>
      <c r="J11" s="60">
        <v>7</v>
      </c>
      <c r="K11" s="60">
        <v>9</v>
      </c>
      <c r="L11" s="60">
        <v>10</v>
      </c>
      <c r="M11" s="76">
        <v>11</v>
      </c>
      <c r="N11" s="76"/>
      <c r="O11" s="104">
        <v>14</v>
      </c>
      <c r="P11" s="3">
        <v>15</v>
      </c>
      <c r="Q11" s="3">
        <v>16</v>
      </c>
      <c r="R11" s="3">
        <v>17</v>
      </c>
      <c r="S11" s="3">
        <v>18</v>
      </c>
      <c r="T11" s="3">
        <v>19</v>
      </c>
      <c r="U11" s="3">
        <v>20</v>
      </c>
    </row>
    <row r="12" spans="1:21" ht="23.25" customHeight="1">
      <c r="A12" s="227" t="s">
        <v>3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9"/>
    </row>
    <row r="13" spans="1:21" s="46" customFormat="1" ht="27.75" customHeight="1">
      <c r="A13" s="24">
        <v>10000</v>
      </c>
      <c r="B13" s="25" t="s">
        <v>0</v>
      </c>
      <c r="C13" s="53">
        <f>SUM(C14:C23)</f>
        <v>730851.0800000001</v>
      </c>
      <c r="D13" s="53">
        <f aca="true" t="shared" si="0" ref="D13:U13">SUM(D14:D23)</f>
        <v>274225</v>
      </c>
      <c r="E13" s="53">
        <f t="shared" si="0"/>
        <v>245865</v>
      </c>
      <c r="F13" s="53">
        <f t="shared" si="0"/>
        <v>245865</v>
      </c>
      <c r="G13" s="121">
        <f t="shared" si="0"/>
        <v>0</v>
      </c>
      <c r="H13" s="53">
        <f t="shared" si="0"/>
        <v>28360</v>
      </c>
      <c r="I13" s="53">
        <f t="shared" si="0"/>
        <v>0</v>
      </c>
      <c r="J13" s="53">
        <f t="shared" si="0"/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3">
        <f t="shared" si="0"/>
        <v>0</v>
      </c>
      <c r="R13" s="53">
        <f t="shared" si="0"/>
        <v>0</v>
      </c>
      <c r="S13" s="53">
        <f t="shared" si="0"/>
        <v>0</v>
      </c>
      <c r="T13" s="53">
        <f t="shared" si="0"/>
        <v>0</v>
      </c>
      <c r="U13" s="53">
        <f t="shared" si="0"/>
        <v>0</v>
      </c>
    </row>
    <row r="14" spans="1:21" s="44" customFormat="1" ht="24.75" customHeight="1">
      <c r="A14" s="188" t="s">
        <v>91</v>
      </c>
      <c r="B14" s="71" t="s">
        <v>27</v>
      </c>
      <c r="C14" s="66">
        <v>574774.24</v>
      </c>
      <c r="D14" s="83">
        <f aca="true" t="shared" si="1" ref="D14:D23">H14+I14+J14+O14+P14+S14+M14+E14</f>
        <v>200000</v>
      </c>
      <c r="E14" s="66">
        <f aca="true" t="shared" si="2" ref="E14:E20">SUM(F14:G14)</f>
        <v>200000</v>
      </c>
      <c r="F14" s="66">
        <v>200000</v>
      </c>
      <c r="G14" s="66"/>
      <c r="H14" s="66"/>
      <c r="I14" s="66"/>
      <c r="J14" s="66"/>
      <c r="K14" s="66">
        <f>SUM(L14:M14)</f>
        <v>0</v>
      </c>
      <c r="L14" s="66"/>
      <c r="M14" s="66"/>
      <c r="N14" s="66"/>
      <c r="O14" s="105"/>
      <c r="P14" s="66"/>
      <c r="Q14" s="66"/>
      <c r="R14" s="66"/>
      <c r="S14" s="66"/>
      <c r="T14" s="66"/>
      <c r="U14" s="83"/>
    </row>
    <row r="15" spans="1:21" s="44" customFormat="1" ht="27.75" customHeight="1">
      <c r="A15" s="188" t="s">
        <v>91</v>
      </c>
      <c r="B15" s="90" t="s">
        <v>28</v>
      </c>
      <c r="C15" s="66">
        <v>45162.29</v>
      </c>
      <c r="D15" s="83">
        <f t="shared" si="1"/>
        <v>45162</v>
      </c>
      <c r="E15" s="66">
        <f t="shared" si="2"/>
        <v>45162</v>
      </c>
      <c r="F15" s="66">
        <v>45162</v>
      </c>
      <c r="G15" s="66"/>
      <c r="H15" s="66"/>
      <c r="I15" s="66"/>
      <c r="J15" s="66"/>
      <c r="K15" s="66">
        <f aca="true" t="shared" si="3" ref="K15:K26">SUM(L15:M15)</f>
        <v>0</v>
      </c>
      <c r="L15" s="66"/>
      <c r="M15" s="66"/>
      <c r="N15" s="66"/>
      <c r="O15" s="105"/>
      <c r="P15" s="66"/>
      <c r="Q15" s="66"/>
      <c r="R15" s="66"/>
      <c r="S15" s="66"/>
      <c r="T15" s="66"/>
      <c r="U15" s="83"/>
    </row>
    <row r="16" spans="1:21" s="44" customFormat="1" ht="27.75" customHeight="1">
      <c r="A16" s="188" t="s">
        <v>91</v>
      </c>
      <c r="B16" s="90" t="s">
        <v>92</v>
      </c>
      <c r="C16" s="66">
        <v>315.56</v>
      </c>
      <c r="D16" s="83">
        <f t="shared" si="1"/>
        <v>315</v>
      </c>
      <c r="E16" s="66">
        <f t="shared" si="2"/>
        <v>315</v>
      </c>
      <c r="F16" s="66">
        <v>315</v>
      </c>
      <c r="G16" s="66"/>
      <c r="H16" s="66"/>
      <c r="I16" s="66"/>
      <c r="J16" s="66"/>
      <c r="K16" s="66"/>
      <c r="L16" s="66"/>
      <c r="M16" s="66"/>
      <c r="N16" s="66"/>
      <c r="O16" s="105"/>
      <c r="P16" s="66"/>
      <c r="Q16" s="66"/>
      <c r="R16" s="66"/>
      <c r="S16" s="66"/>
      <c r="T16" s="66"/>
      <c r="U16" s="83"/>
    </row>
    <row r="17" spans="1:21" s="44" customFormat="1" ht="27.75" customHeight="1">
      <c r="A17" s="188" t="s">
        <v>91</v>
      </c>
      <c r="B17" s="90" t="s">
        <v>29</v>
      </c>
      <c r="C17" s="66">
        <v>387.61</v>
      </c>
      <c r="D17" s="83">
        <f t="shared" si="1"/>
        <v>388</v>
      </c>
      <c r="E17" s="66">
        <f t="shared" si="2"/>
        <v>388</v>
      </c>
      <c r="F17" s="66">
        <v>388</v>
      </c>
      <c r="G17" s="66"/>
      <c r="H17" s="66"/>
      <c r="I17" s="66"/>
      <c r="J17" s="66"/>
      <c r="K17" s="66">
        <f t="shared" si="3"/>
        <v>0</v>
      </c>
      <c r="L17" s="66"/>
      <c r="M17" s="66"/>
      <c r="N17" s="66"/>
      <c r="O17" s="105"/>
      <c r="P17" s="66"/>
      <c r="Q17" s="66"/>
      <c r="R17" s="66"/>
      <c r="S17" s="66"/>
      <c r="T17" s="66"/>
      <c r="U17" s="83"/>
    </row>
    <row r="18" spans="1:21" s="1" customFormat="1" ht="22.5" customHeight="1">
      <c r="A18" s="188" t="s">
        <v>91</v>
      </c>
      <c r="B18" s="71" t="s">
        <v>105</v>
      </c>
      <c r="C18" s="66">
        <v>60115.99</v>
      </c>
      <c r="D18" s="83">
        <f t="shared" si="1"/>
        <v>0</v>
      </c>
      <c r="E18" s="66">
        <f t="shared" si="2"/>
        <v>0</v>
      </c>
      <c r="F18" s="66"/>
      <c r="G18" s="72"/>
      <c r="H18" s="66"/>
      <c r="I18" s="66"/>
      <c r="J18" s="66"/>
      <c r="K18" s="66">
        <f t="shared" si="3"/>
        <v>0</v>
      </c>
      <c r="L18" s="66"/>
      <c r="M18" s="66"/>
      <c r="N18" s="66"/>
      <c r="O18" s="105"/>
      <c r="P18" s="66"/>
      <c r="Q18" s="66"/>
      <c r="R18" s="66"/>
      <c r="S18" s="66"/>
      <c r="T18" s="66"/>
      <c r="U18" s="83"/>
    </row>
    <row r="19" spans="1:21" s="1" customFormat="1" ht="25.5" customHeight="1">
      <c r="A19" s="188" t="s">
        <v>91</v>
      </c>
      <c r="B19" s="71" t="s">
        <v>85</v>
      </c>
      <c r="C19" s="66">
        <v>15000</v>
      </c>
      <c r="D19" s="83">
        <f t="shared" si="1"/>
        <v>0</v>
      </c>
      <c r="E19" s="66">
        <f t="shared" si="2"/>
        <v>0</v>
      </c>
      <c r="F19" s="66"/>
      <c r="G19" s="72"/>
      <c r="H19" s="66"/>
      <c r="I19" s="66"/>
      <c r="J19" s="66"/>
      <c r="K19" s="66">
        <f t="shared" si="3"/>
        <v>0</v>
      </c>
      <c r="L19" s="66"/>
      <c r="M19" s="66"/>
      <c r="N19" s="66"/>
      <c r="O19" s="105"/>
      <c r="P19" s="66"/>
      <c r="Q19" s="66"/>
      <c r="R19" s="66"/>
      <c r="S19" s="66"/>
      <c r="T19" s="66"/>
      <c r="U19" s="83"/>
    </row>
    <row r="20" spans="1:21" s="1" customFormat="1" ht="20.25" customHeight="1">
      <c r="A20" s="188" t="s">
        <v>91</v>
      </c>
      <c r="B20" s="71" t="s">
        <v>30</v>
      </c>
      <c r="C20" s="66">
        <v>3635.39</v>
      </c>
      <c r="D20" s="83">
        <f t="shared" si="1"/>
        <v>0</v>
      </c>
      <c r="E20" s="66">
        <f t="shared" si="2"/>
        <v>0</v>
      </c>
      <c r="F20" s="66"/>
      <c r="G20" s="69"/>
      <c r="H20" s="72"/>
      <c r="I20" s="66"/>
      <c r="J20" s="66"/>
      <c r="K20" s="66">
        <f t="shared" si="3"/>
        <v>0</v>
      </c>
      <c r="L20" s="66"/>
      <c r="M20" s="66"/>
      <c r="N20" s="66"/>
      <c r="O20" s="105"/>
      <c r="P20" s="66"/>
      <c r="Q20" s="66"/>
      <c r="R20" s="66"/>
      <c r="S20" s="66"/>
      <c r="T20" s="66"/>
      <c r="U20" s="83"/>
    </row>
    <row r="21" spans="1:21" s="1" customFormat="1" ht="20.25" customHeight="1">
      <c r="A21" s="188" t="s">
        <v>91</v>
      </c>
      <c r="B21" s="71" t="s">
        <v>136</v>
      </c>
      <c r="C21" s="66">
        <v>-15000</v>
      </c>
      <c r="D21" s="83">
        <f t="shared" si="1"/>
        <v>0</v>
      </c>
      <c r="E21" s="66"/>
      <c r="F21" s="66"/>
      <c r="G21" s="66"/>
      <c r="H21" s="72"/>
      <c r="I21" s="66"/>
      <c r="J21" s="66"/>
      <c r="K21" s="66"/>
      <c r="L21" s="66"/>
      <c r="M21" s="66"/>
      <c r="N21" s="66"/>
      <c r="O21" s="105"/>
      <c r="P21" s="66"/>
      <c r="Q21" s="66"/>
      <c r="R21" s="66"/>
      <c r="S21" s="66"/>
      <c r="T21" s="66"/>
      <c r="U21" s="83"/>
    </row>
    <row r="22" spans="1:21" s="1" customFormat="1" ht="104.25" customHeight="1">
      <c r="A22" s="188" t="s">
        <v>91</v>
      </c>
      <c r="B22" s="71" t="s">
        <v>156</v>
      </c>
      <c r="C22" s="66">
        <v>18100</v>
      </c>
      <c r="D22" s="83">
        <f t="shared" si="1"/>
        <v>0</v>
      </c>
      <c r="E22" s="66"/>
      <c r="F22" s="66"/>
      <c r="G22" s="66"/>
      <c r="H22" s="72"/>
      <c r="I22" s="66"/>
      <c r="J22" s="66"/>
      <c r="K22" s="66"/>
      <c r="L22" s="66"/>
      <c r="M22" s="66"/>
      <c r="N22" s="66"/>
      <c r="O22" s="105"/>
      <c r="P22" s="66"/>
      <c r="Q22" s="66"/>
      <c r="R22" s="66"/>
      <c r="S22" s="66"/>
      <c r="T22" s="66"/>
      <c r="U22" s="83"/>
    </row>
    <row r="23" spans="1:21" s="117" customFormat="1" ht="24.75" customHeight="1">
      <c r="A23" s="188" t="s">
        <v>91</v>
      </c>
      <c r="B23" s="71" t="s">
        <v>93</v>
      </c>
      <c r="C23" s="113">
        <v>28360</v>
      </c>
      <c r="D23" s="83">
        <f t="shared" si="1"/>
        <v>28360</v>
      </c>
      <c r="E23" s="113">
        <f>SUM(F23:G23)</f>
        <v>0</v>
      </c>
      <c r="F23" s="113"/>
      <c r="G23" s="113"/>
      <c r="H23" s="116">
        <v>28360</v>
      </c>
      <c r="I23" s="113"/>
      <c r="J23" s="113"/>
      <c r="K23" s="113">
        <f t="shared" si="3"/>
        <v>0</v>
      </c>
      <c r="L23" s="113"/>
      <c r="M23" s="113"/>
      <c r="N23" s="113"/>
      <c r="O23" s="114"/>
      <c r="P23" s="113"/>
      <c r="Q23" s="113"/>
      <c r="R23" s="113"/>
      <c r="S23" s="113"/>
      <c r="T23" s="113"/>
      <c r="U23" s="83"/>
    </row>
    <row r="24" spans="1:21" s="48" customFormat="1" ht="22.5" customHeight="1">
      <c r="A24" s="24">
        <v>10000</v>
      </c>
      <c r="B24" s="82" t="s">
        <v>1</v>
      </c>
      <c r="C24" s="121">
        <f>SUM(C25:C56)</f>
        <v>6824248.46</v>
      </c>
      <c r="D24" s="121">
        <f aca="true" t="shared" si="4" ref="D24:U24">SUM(D25:D56)</f>
        <v>4621922.75</v>
      </c>
      <c r="E24" s="121">
        <f t="shared" si="4"/>
        <v>632253</v>
      </c>
      <c r="F24" s="121">
        <f t="shared" si="4"/>
        <v>517783</v>
      </c>
      <c r="G24" s="121">
        <f t="shared" si="4"/>
        <v>114470</v>
      </c>
      <c r="H24" s="121">
        <f t="shared" si="4"/>
        <v>-700</v>
      </c>
      <c r="I24" s="121">
        <f t="shared" si="4"/>
        <v>0</v>
      </c>
      <c r="J24" s="121">
        <f t="shared" si="4"/>
        <v>0</v>
      </c>
      <c r="K24" s="121">
        <f t="shared" si="4"/>
        <v>435591.29</v>
      </c>
      <c r="L24" s="121">
        <f t="shared" si="4"/>
        <v>435591.29</v>
      </c>
      <c r="M24" s="121">
        <f t="shared" si="4"/>
        <v>0</v>
      </c>
      <c r="N24" s="121">
        <f t="shared" si="4"/>
        <v>0</v>
      </c>
      <c r="O24" s="121">
        <f t="shared" si="4"/>
        <v>585207</v>
      </c>
      <c r="P24" s="121">
        <f t="shared" si="4"/>
        <v>-434028.54</v>
      </c>
      <c r="Q24" s="121">
        <f t="shared" si="4"/>
        <v>2744900</v>
      </c>
      <c r="R24" s="121">
        <f t="shared" si="4"/>
        <v>0</v>
      </c>
      <c r="S24" s="121">
        <f t="shared" si="4"/>
        <v>658700</v>
      </c>
      <c r="T24" s="121">
        <f t="shared" si="4"/>
        <v>4115329.51</v>
      </c>
      <c r="U24" s="121">
        <f t="shared" si="4"/>
        <v>2202325.71</v>
      </c>
    </row>
    <row r="25" spans="1:21" s="44" customFormat="1" ht="48" customHeight="1">
      <c r="A25" s="84">
        <v>1020</v>
      </c>
      <c r="B25" s="73" t="s">
        <v>34</v>
      </c>
      <c r="C25" s="66">
        <v>208000</v>
      </c>
      <c r="D25" s="83">
        <f aca="true" t="shared" si="5" ref="D25:D40">H25+I25+J25+O25+P25+S25+M25+E25</f>
        <v>0</v>
      </c>
      <c r="E25" s="66">
        <f>SUM(F25:G25)</f>
        <v>0</v>
      </c>
      <c r="F25" s="72"/>
      <c r="G25" s="66"/>
      <c r="H25" s="66"/>
      <c r="I25" s="66"/>
      <c r="J25" s="66"/>
      <c r="K25" s="72">
        <f t="shared" si="3"/>
        <v>0</v>
      </c>
      <c r="L25" s="72"/>
      <c r="M25" s="66"/>
      <c r="N25" s="66"/>
      <c r="O25" s="105"/>
      <c r="P25" s="66"/>
      <c r="Q25" s="66"/>
      <c r="R25" s="66"/>
      <c r="S25" s="66"/>
      <c r="T25" s="70"/>
      <c r="U25" s="123">
        <f aca="true" t="shared" si="6" ref="U25:U47">C25-D25</f>
        <v>208000</v>
      </c>
    </row>
    <row r="26" spans="1:21" s="44" customFormat="1" ht="45">
      <c r="A26" s="84">
        <v>1020</v>
      </c>
      <c r="B26" s="71" t="s">
        <v>43</v>
      </c>
      <c r="C26" s="66">
        <v>2947700</v>
      </c>
      <c r="D26" s="83">
        <f>H26+I26+J26+O26+P26+S26+M26+E26+K26</f>
        <v>953374.29</v>
      </c>
      <c r="E26" s="66">
        <f>SUM(F26:G26)</f>
        <v>517783</v>
      </c>
      <c r="F26" s="66">
        <v>517783</v>
      </c>
      <c r="G26" s="66"/>
      <c r="H26" s="66"/>
      <c r="I26" s="66"/>
      <c r="J26" s="66"/>
      <c r="K26" s="66">
        <f t="shared" si="3"/>
        <v>435591.29</v>
      </c>
      <c r="L26" s="66">
        <v>435591.29</v>
      </c>
      <c r="M26" s="66"/>
      <c r="N26" s="66"/>
      <c r="O26" s="105"/>
      <c r="P26" s="66"/>
      <c r="Q26" s="69"/>
      <c r="R26" s="69"/>
      <c r="S26" s="69"/>
      <c r="T26" s="70"/>
      <c r="U26" s="123">
        <f t="shared" si="6"/>
        <v>1994325.71</v>
      </c>
    </row>
    <row r="27" spans="1:21" s="44" customFormat="1" ht="67.5">
      <c r="A27" s="84">
        <v>1020</v>
      </c>
      <c r="B27" s="71" t="s">
        <v>142</v>
      </c>
      <c r="C27" s="66">
        <v>-83285.05</v>
      </c>
      <c r="D27" s="83">
        <f t="shared" si="5"/>
        <v>-83285.05</v>
      </c>
      <c r="E27" s="66">
        <f>SUM(F27:G27)</f>
        <v>0</v>
      </c>
      <c r="F27" s="66"/>
      <c r="G27" s="66"/>
      <c r="H27" s="66"/>
      <c r="I27" s="66"/>
      <c r="J27" s="66"/>
      <c r="K27" s="66"/>
      <c r="L27" s="66"/>
      <c r="M27" s="66"/>
      <c r="N27" s="66"/>
      <c r="O27" s="105"/>
      <c r="P27" s="66">
        <v>-83285.05</v>
      </c>
      <c r="Q27" s="69"/>
      <c r="R27" s="69"/>
      <c r="S27" s="69"/>
      <c r="T27" s="70"/>
      <c r="U27" s="123">
        <f t="shared" si="6"/>
        <v>0</v>
      </c>
    </row>
    <row r="28" spans="1:21" s="44" customFormat="1" ht="45">
      <c r="A28" s="84">
        <v>1020</v>
      </c>
      <c r="B28" s="71" t="s">
        <v>145</v>
      </c>
      <c r="C28" s="66">
        <v>1650</v>
      </c>
      <c r="D28" s="83">
        <f t="shared" si="5"/>
        <v>1650</v>
      </c>
      <c r="E28" s="66">
        <f>SUM(F28:G28)</f>
        <v>0</v>
      </c>
      <c r="F28" s="66"/>
      <c r="G28" s="66"/>
      <c r="H28" s="66"/>
      <c r="I28" s="66"/>
      <c r="J28" s="66"/>
      <c r="K28" s="66"/>
      <c r="L28" s="66"/>
      <c r="M28" s="66"/>
      <c r="N28" s="66"/>
      <c r="O28" s="105">
        <v>1650</v>
      </c>
      <c r="P28" s="66"/>
      <c r="Q28" s="69"/>
      <c r="R28" s="69"/>
      <c r="S28" s="69"/>
      <c r="T28" s="70"/>
      <c r="U28" s="123">
        <f t="shared" si="6"/>
        <v>0</v>
      </c>
    </row>
    <row r="29" spans="1:21" s="44" customFormat="1" ht="45">
      <c r="A29" s="84">
        <v>1020</v>
      </c>
      <c r="B29" s="71" t="s">
        <v>158</v>
      </c>
      <c r="C29" s="66">
        <v>19800</v>
      </c>
      <c r="D29" s="83">
        <f t="shared" si="5"/>
        <v>19800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105">
        <v>19800</v>
      </c>
      <c r="P29" s="66"/>
      <c r="Q29" s="69"/>
      <c r="R29" s="69"/>
      <c r="S29" s="69"/>
      <c r="T29" s="70"/>
      <c r="U29" s="123">
        <f t="shared" si="6"/>
        <v>0</v>
      </c>
    </row>
    <row r="30" spans="1:21" s="44" customFormat="1" ht="45">
      <c r="A30" s="84">
        <v>1020</v>
      </c>
      <c r="B30" s="71" t="s">
        <v>157</v>
      </c>
      <c r="C30" s="66">
        <v>5400</v>
      </c>
      <c r="D30" s="83">
        <f t="shared" si="5"/>
        <v>5400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105">
        <v>5400</v>
      </c>
      <c r="P30" s="66"/>
      <c r="Q30" s="69"/>
      <c r="R30" s="69"/>
      <c r="S30" s="69"/>
      <c r="T30" s="70"/>
      <c r="U30" s="123"/>
    </row>
    <row r="31" spans="1:21" s="44" customFormat="1" ht="45">
      <c r="A31" s="84">
        <v>1020</v>
      </c>
      <c r="B31" s="71" t="s">
        <v>159</v>
      </c>
      <c r="C31" s="66">
        <v>7000</v>
      </c>
      <c r="D31" s="83">
        <f t="shared" si="5"/>
        <v>7000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105">
        <v>7000</v>
      </c>
      <c r="P31" s="66"/>
      <c r="Q31" s="69"/>
      <c r="R31" s="69"/>
      <c r="S31" s="69"/>
      <c r="T31" s="70"/>
      <c r="U31" s="123"/>
    </row>
    <row r="32" spans="1:21" s="44" customFormat="1" ht="23.25">
      <c r="A32" s="84">
        <v>1020</v>
      </c>
      <c r="B32" s="71" t="s">
        <v>148</v>
      </c>
      <c r="C32" s="66">
        <v>114470</v>
      </c>
      <c r="D32" s="83">
        <f t="shared" si="5"/>
        <v>114470</v>
      </c>
      <c r="E32" s="66">
        <f>SUM(F32:G32)</f>
        <v>114470</v>
      </c>
      <c r="F32" s="66"/>
      <c r="G32" s="66">
        <v>114470</v>
      </c>
      <c r="H32" s="66"/>
      <c r="I32" s="66"/>
      <c r="J32" s="66"/>
      <c r="K32" s="66"/>
      <c r="L32" s="66"/>
      <c r="M32" s="66"/>
      <c r="N32" s="66"/>
      <c r="O32" s="105"/>
      <c r="P32" s="66"/>
      <c r="Q32" s="69"/>
      <c r="R32" s="69"/>
      <c r="S32" s="69"/>
      <c r="T32" s="70"/>
      <c r="U32" s="123"/>
    </row>
    <row r="33" spans="1:21" s="44" customFormat="1" ht="23.25">
      <c r="A33" s="84">
        <v>1020</v>
      </c>
      <c r="B33" s="71" t="s">
        <v>154</v>
      </c>
      <c r="C33" s="66">
        <v>-117000</v>
      </c>
      <c r="D33" s="83">
        <f t="shared" si="5"/>
        <v>-117000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105"/>
      <c r="P33" s="66"/>
      <c r="Q33" s="69"/>
      <c r="R33" s="69"/>
      <c r="S33" s="69">
        <v>-117000</v>
      </c>
      <c r="T33" s="70"/>
      <c r="U33" s="123">
        <f t="shared" si="6"/>
        <v>0</v>
      </c>
    </row>
    <row r="34" spans="1:21" s="157" customFormat="1" ht="23.25">
      <c r="A34" s="148">
        <v>1020</v>
      </c>
      <c r="B34" s="158" t="s">
        <v>85</v>
      </c>
      <c r="C34" s="136">
        <v>-700</v>
      </c>
      <c r="D34" s="139">
        <f t="shared" si="5"/>
        <v>-700</v>
      </c>
      <c r="E34" s="136"/>
      <c r="F34" s="136"/>
      <c r="G34" s="136"/>
      <c r="H34" s="136">
        <v>-700</v>
      </c>
      <c r="I34" s="136"/>
      <c r="J34" s="136"/>
      <c r="K34" s="136"/>
      <c r="L34" s="136"/>
      <c r="M34" s="136"/>
      <c r="N34" s="136"/>
      <c r="O34" s="162"/>
      <c r="P34" s="136"/>
      <c r="Q34" s="159"/>
      <c r="R34" s="159"/>
      <c r="S34" s="159"/>
      <c r="T34" s="160"/>
      <c r="U34" s="185">
        <f t="shared" si="6"/>
        <v>0</v>
      </c>
    </row>
    <row r="35" spans="1:21" s="157" customFormat="1" ht="67.5">
      <c r="A35" s="148">
        <v>1020</v>
      </c>
      <c r="B35" s="158" t="s">
        <v>141</v>
      </c>
      <c r="C35" s="139">
        <v>50000</v>
      </c>
      <c r="D35" s="139">
        <f t="shared" si="5"/>
        <v>50000</v>
      </c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55">
        <v>50000</v>
      </c>
      <c r="P35" s="139"/>
      <c r="Q35" s="172"/>
      <c r="R35" s="172"/>
      <c r="S35" s="172"/>
      <c r="T35" s="183">
        <v>50000</v>
      </c>
      <c r="U35" s="185">
        <f t="shared" si="6"/>
        <v>0</v>
      </c>
    </row>
    <row r="36" spans="1:21" s="157" customFormat="1" ht="23.25">
      <c r="A36" s="148">
        <v>1020</v>
      </c>
      <c r="B36" s="158" t="s">
        <v>131</v>
      </c>
      <c r="C36" s="139">
        <v>-199100</v>
      </c>
      <c r="D36" s="139">
        <f t="shared" si="5"/>
        <v>-199100</v>
      </c>
      <c r="E36" s="139"/>
      <c r="F36" s="139"/>
      <c r="G36" s="139"/>
      <c r="H36" s="185">
        <v>-199100</v>
      </c>
      <c r="I36" s="139"/>
      <c r="J36" s="139"/>
      <c r="K36" s="139"/>
      <c r="L36" s="139"/>
      <c r="M36" s="139"/>
      <c r="N36" s="139"/>
      <c r="O36" s="155"/>
      <c r="P36" s="139"/>
      <c r="Q36" s="172"/>
      <c r="R36" s="172"/>
      <c r="S36" s="172"/>
      <c r="T36" s="183">
        <v>199100</v>
      </c>
      <c r="U36" s="185">
        <f t="shared" si="6"/>
        <v>0</v>
      </c>
    </row>
    <row r="37" spans="1:21" s="157" customFormat="1" ht="45">
      <c r="A37" s="148">
        <v>1020</v>
      </c>
      <c r="B37" s="158" t="s">
        <v>117</v>
      </c>
      <c r="C37" s="139">
        <v>38715</v>
      </c>
      <c r="D37" s="139">
        <f t="shared" si="5"/>
        <v>38715</v>
      </c>
      <c r="E37" s="139">
        <f>SUM(F37:G37)</f>
        <v>0</v>
      </c>
      <c r="F37" s="139"/>
      <c r="G37" s="139"/>
      <c r="H37" s="139"/>
      <c r="I37" s="139"/>
      <c r="J37" s="139"/>
      <c r="K37" s="139"/>
      <c r="L37" s="139"/>
      <c r="M37" s="139"/>
      <c r="N37" s="139"/>
      <c r="O37" s="155">
        <v>38715</v>
      </c>
      <c r="P37" s="139"/>
      <c r="Q37" s="172"/>
      <c r="R37" s="172"/>
      <c r="S37" s="172"/>
      <c r="T37" s="183">
        <v>38715</v>
      </c>
      <c r="U37" s="185">
        <f t="shared" si="6"/>
        <v>0</v>
      </c>
    </row>
    <row r="38" spans="1:21" s="157" customFormat="1" ht="45">
      <c r="A38" s="148">
        <v>1020</v>
      </c>
      <c r="B38" s="158" t="s">
        <v>127</v>
      </c>
      <c r="C38" s="139">
        <f>6550+12000</f>
        <v>18550</v>
      </c>
      <c r="D38" s="139">
        <f t="shared" si="5"/>
        <v>18550</v>
      </c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55">
        <f>6550+12000</f>
        <v>18550</v>
      </c>
      <c r="P38" s="139"/>
      <c r="Q38" s="172"/>
      <c r="R38" s="172"/>
      <c r="S38" s="172"/>
      <c r="T38" s="183">
        <v>18550</v>
      </c>
      <c r="U38" s="185">
        <f t="shared" si="6"/>
        <v>0</v>
      </c>
    </row>
    <row r="39" spans="1:21" s="157" customFormat="1" ht="45">
      <c r="A39" s="148">
        <v>1020</v>
      </c>
      <c r="B39" s="158" t="s">
        <v>128</v>
      </c>
      <c r="C39" s="139">
        <v>112412</v>
      </c>
      <c r="D39" s="139">
        <f t="shared" si="5"/>
        <v>112412</v>
      </c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55">
        <v>112412</v>
      </c>
      <c r="P39" s="139"/>
      <c r="Q39" s="172"/>
      <c r="R39" s="172"/>
      <c r="S39" s="172"/>
      <c r="T39" s="183">
        <v>112412</v>
      </c>
      <c r="U39" s="185">
        <f t="shared" si="6"/>
        <v>0</v>
      </c>
    </row>
    <row r="40" spans="1:21" s="157" customFormat="1" ht="26.25" customHeight="1">
      <c r="A40" s="148">
        <v>1020</v>
      </c>
      <c r="B40" s="158" t="s">
        <v>96</v>
      </c>
      <c r="C40" s="139">
        <v>30000</v>
      </c>
      <c r="D40" s="139">
        <f t="shared" si="5"/>
        <v>30000</v>
      </c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55">
        <v>30000</v>
      </c>
      <c r="P40" s="139"/>
      <c r="Q40" s="172"/>
      <c r="R40" s="172"/>
      <c r="S40" s="172"/>
      <c r="T40" s="183">
        <v>30000</v>
      </c>
      <c r="U40" s="185">
        <f t="shared" si="6"/>
        <v>0</v>
      </c>
    </row>
    <row r="41" spans="1:21" s="157" customFormat="1" ht="79.5" customHeight="1">
      <c r="A41" s="148">
        <v>1020</v>
      </c>
      <c r="B41" s="176" t="s">
        <v>78</v>
      </c>
      <c r="C41" s="139">
        <v>10680</v>
      </c>
      <c r="D41" s="139">
        <f aca="true" t="shared" si="7" ref="D41:D47">H41+I41+J41+O41+P41+S41+M41+E41</f>
        <v>10680</v>
      </c>
      <c r="E41" s="139"/>
      <c r="F41" s="139"/>
      <c r="G41" s="136"/>
      <c r="H41" s="136"/>
      <c r="I41" s="136"/>
      <c r="J41" s="136"/>
      <c r="K41" s="136"/>
      <c r="L41" s="136"/>
      <c r="M41" s="136"/>
      <c r="N41" s="136"/>
      <c r="O41" s="155">
        <v>10680</v>
      </c>
      <c r="P41" s="139"/>
      <c r="Q41" s="172"/>
      <c r="R41" s="172"/>
      <c r="S41" s="172"/>
      <c r="T41" s="183">
        <v>6596</v>
      </c>
      <c r="U41" s="139">
        <f t="shared" si="6"/>
        <v>0</v>
      </c>
    </row>
    <row r="42" spans="1:21" s="157" customFormat="1" ht="51.75" customHeight="1">
      <c r="A42" s="148">
        <v>1020</v>
      </c>
      <c r="B42" s="176" t="s">
        <v>77</v>
      </c>
      <c r="C42" s="139">
        <v>7000</v>
      </c>
      <c r="D42" s="139">
        <f t="shared" si="7"/>
        <v>7000</v>
      </c>
      <c r="E42" s="139"/>
      <c r="F42" s="139"/>
      <c r="G42" s="136"/>
      <c r="H42" s="136"/>
      <c r="I42" s="136"/>
      <c r="J42" s="136"/>
      <c r="K42" s="136"/>
      <c r="L42" s="136"/>
      <c r="M42" s="136"/>
      <c r="N42" s="136"/>
      <c r="O42" s="155">
        <v>7000</v>
      </c>
      <c r="P42" s="139"/>
      <c r="Q42" s="172"/>
      <c r="R42" s="172"/>
      <c r="S42" s="172"/>
      <c r="T42" s="183">
        <v>7000</v>
      </c>
      <c r="U42" s="139">
        <f t="shared" si="6"/>
        <v>0</v>
      </c>
    </row>
    <row r="43" spans="1:21" s="157" customFormat="1" ht="45.75" customHeight="1">
      <c r="A43" s="154">
        <v>1020</v>
      </c>
      <c r="B43" s="153" t="s">
        <v>79</v>
      </c>
      <c r="C43" s="139">
        <v>2000</v>
      </c>
      <c r="D43" s="139">
        <f t="shared" si="7"/>
        <v>2000</v>
      </c>
      <c r="E43" s="139">
        <f>SUM(F43:G43)</f>
        <v>0</v>
      </c>
      <c r="F43" s="139"/>
      <c r="G43" s="172"/>
      <c r="H43" s="139"/>
      <c r="I43" s="139"/>
      <c r="J43" s="139"/>
      <c r="K43" s="139"/>
      <c r="L43" s="139"/>
      <c r="M43" s="139"/>
      <c r="N43" s="139"/>
      <c r="O43" s="155"/>
      <c r="P43" s="139">
        <v>2000</v>
      </c>
      <c r="Q43" s="172"/>
      <c r="R43" s="172"/>
      <c r="S43" s="172"/>
      <c r="T43" s="183">
        <v>2000</v>
      </c>
      <c r="U43" s="139">
        <f t="shared" si="6"/>
        <v>0</v>
      </c>
    </row>
    <row r="44" spans="1:21" s="1" customFormat="1" ht="78.75" customHeight="1">
      <c r="A44" s="165">
        <v>1020</v>
      </c>
      <c r="B44" s="176" t="s">
        <v>73</v>
      </c>
      <c r="C44" s="139">
        <v>100000</v>
      </c>
      <c r="D44" s="139">
        <f t="shared" si="7"/>
        <v>100000</v>
      </c>
      <c r="E44" s="139">
        <f>SUM(F44:G44)</f>
        <v>0</v>
      </c>
      <c r="F44" s="142"/>
      <c r="G44" s="142"/>
      <c r="H44" s="185"/>
      <c r="I44" s="139"/>
      <c r="J44" s="139"/>
      <c r="K44" s="139"/>
      <c r="L44" s="139"/>
      <c r="M44" s="139"/>
      <c r="N44" s="139"/>
      <c r="O44" s="155">
        <v>100000</v>
      </c>
      <c r="P44" s="139"/>
      <c r="Q44" s="139"/>
      <c r="R44" s="139"/>
      <c r="S44" s="139"/>
      <c r="T44" s="163">
        <v>100000</v>
      </c>
      <c r="U44" s="139">
        <f t="shared" si="6"/>
        <v>0</v>
      </c>
    </row>
    <row r="45" spans="1:21" s="44" customFormat="1" ht="50.25" customHeight="1">
      <c r="A45" s="165">
        <v>1020</v>
      </c>
      <c r="B45" s="176" t="s">
        <v>74</v>
      </c>
      <c r="C45" s="139">
        <v>100000</v>
      </c>
      <c r="D45" s="139">
        <f t="shared" si="7"/>
        <v>100000</v>
      </c>
      <c r="E45" s="139">
        <f>SUM(F45:G45)</f>
        <v>0</v>
      </c>
      <c r="F45" s="139"/>
      <c r="G45" s="139"/>
      <c r="H45" s="139"/>
      <c r="I45" s="139"/>
      <c r="J45" s="139"/>
      <c r="K45" s="139"/>
      <c r="L45" s="139"/>
      <c r="M45" s="139"/>
      <c r="N45" s="139"/>
      <c r="O45" s="155">
        <v>100000</v>
      </c>
      <c r="P45" s="139"/>
      <c r="Q45" s="172"/>
      <c r="R45" s="172"/>
      <c r="S45" s="172"/>
      <c r="T45" s="183">
        <v>100000</v>
      </c>
      <c r="U45" s="139">
        <f t="shared" si="6"/>
        <v>0</v>
      </c>
    </row>
    <row r="46" spans="1:21" s="44" customFormat="1" ht="131.25">
      <c r="A46" s="165">
        <v>1020</v>
      </c>
      <c r="B46" s="176" t="s">
        <v>75</v>
      </c>
      <c r="C46" s="139">
        <v>42000</v>
      </c>
      <c r="D46" s="139">
        <f t="shared" si="7"/>
        <v>42000</v>
      </c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55">
        <v>42000</v>
      </c>
      <c r="P46" s="139"/>
      <c r="Q46" s="172"/>
      <c r="R46" s="172"/>
      <c r="S46" s="172"/>
      <c r="T46" s="183">
        <v>42000</v>
      </c>
      <c r="U46" s="139">
        <f t="shared" si="6"/>
        <v>0</v>
      </c>
    </row>
    <row r="47" spans="1:21" s="44" customFormat="1" ht="50.25" customHeight="1">
      <c r="A47" s="165">
        <v>1020</v>
      </c>
      <c r="B47" s="176" t="s">
        <v>76</v>
      </c>
      <c r="C47" s="139">
        <v>39000</v>
      </c>
      <c r="D47" s="139">
        <f t="shared" si="7"/>
        <v>39000</v>
      </c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55"/>
      <c r="P47" s="139">
        <v>39000</v>
      </c>
      <c r="Q47" s="172"/>
      <c r="R47" s="172"/>
      <c r="S47" s="172"/>
      <c r="T47" s="183">
        <v>39000</v>
      </c>
      <c r="U47" s="139">
        <f t="shared" si="6"/>
        <v>0</v>
      </c>
    </row>
    <row r="48" spans="1:21" s="157" customFormat="1" ht="49.5" customHeight="1">
      <c r="A48" s="154">
        <v>1020</v>
      </c>
      <c r="B48" s="153" t="s">
        <v>52</v>
      </c>
      <c r="C48" s="139">
        <v>12000</v>
      </c>
      <c r="D48" s="139">
        <f aca="true" t="shared" si="8" ref="D48:D56">H48+I48+J48+O48+P48+S48+M48+E48</f>
        <v>12000</v>
      </c>
      <c r="E48" s="139">
        <f aca="true" t="shared" si="9" ref="E48:E55">SUM(F48:G48)</f>
        <v>0</v>
      </c>
      <c r="F48" s="139"/>
      <c r="G48" s="139"/>
      <c r="H48" s="139"/>
      <c r="I48" s="139"/>
      <c r="J48" s="139"/>
      <c r="K48" s="139"/>
      <c r="L48" s="139"/>
      <c r="M48" s="139"/>
      <c r="N48" s="139"/>
      <c r="O48" s="155">
        <v>12000</v>
      </c>
      <c r="P48" s="139"/>
      <c r="Q48" s="139"/>
      <c r="R48" s="139"/>
      <c r="S48" s="139"/>
      <c r="T48" s="156">
        <v>12000</v>
      </c>
      <c r="U48" s="139">
        <f aca="true" t="shared" si="10" ref="U48:U56">C48-D48</f>
        <v>0</v>
      </c>
    </row>
    <row r="49" spans="1:21" s="157" customFormat="1" ht="48.75" customHeight="1">
      <c r="A49" s="154">
        <v>1020</v>
      </c>
      <c r="B49" s="153" t="s">
        <v>53</v>
      </c>
      <c r="C49" s="139">
        <v>30000</v>
      </c>
      <c r="D49" s="139">
        <f t="shared" si="8"/>
        <v>30000</v>
      </c>
      <c r="E49" s="139">
        <f t="shared" si="9"/>
        <v>0</v>
      </c>
      <c r="F49" s="139"/>
      <c r="G49" s="139"/>
      <c r="H49" s="139"/>
      <c r="I49" s="139"/>
      <c r="J49" s="139"/>
      <c r="K49" s="139"/>
      <c r="L49" s="139"/>
      <c r="M49" s="139"/>
      <c r="N49" s="139"/>
      <c r="O49" s="155">
        <v>30000</v>
      </c>
      <c r="P49" s="139"/>
      <c r="Q49" s="139"/>
      <c r="R49" s="139"/>
      <c r="S49" s="139"/>
      <c r="T49" s="156">
        <v>30000</v>
      </c>
      <c r="U49" s="139">
        <f t="shared" si="10"/>
        <v>0</v>
      </c>
    </row>
    <row r="50" spans="1:21" s="157" customFormat="1" ht="70.5" customHeight="1">
      <c r="A50" s="154">
        <v>1020</v>
      </c>
      <c r="B50" s="153" t="s">
        <v>97</v>
      </c>
      <c r="C50" s="139">
        <v>2744900</v>
      </c>
      <c r="D50" s="139">
        <f>H50+I50+J50+O50+P50+S50+M50+E50+Q50</f>
        <v>2744900</v>
      </c>
      <c r="E50" s="139">
        <f t="shared" si="9"/>
        <v>0</v>
      </c>
      <c r="F50" s="139"/>
      <c r="G50" s="139"/>
      <c r="H50" s="139"/>
      <c r="I50" s="139"/>
      <c r="J50" s="139"/>
      <c r="K50" s="139"/>
      <c r="L50" s="139"/>
      <c r="M50" s="139"/>
      <c r="N50" s="139"/>
      <c r="O50" s="155"/>
      <c r="P50" s="139"/>
      <c r="Q50" s="185">
        <v>2744900</v>
      </c>
      <c r="R50" s="139"/>
      <c r="S50" s="139"/>
      <c r="T50" s="190">
        <v>2744900</v>
      </c>
      <c r="U50" s="139">
        <f t="shared" si="10"/>
        <v>0</v>
      </c>
    </row>
    <row r="51" spans="1:21" s="157" customFormat="1" ht="25.5" customHeight="1">
      <c r="A51" s="154">
        <v>1020</v>
      </c>
      <c r="B51" s="153" t="s">
        <v>99</v>
      </c>
      <c r="C51" s="139">
        <v>55000</v>
      </c>
      <c r="D51" s="139">
        <f t="shared" si="8"/>
        <v>55000</v>
      </c>
      <c r="E51" s="139">
        <f t="shared" si="9"/>
        <v>0</v>
      </c>
      <c r="F51" s="139"/>
      <c r="G51" s="139"/>
      <c r="H51" s="139"/>
      <c r="I51" s="139"/>
      <c r="J51" s="139"/>
      <c r="K51" s="139"/>
      <c r="L51" s="139"/>
      <c r="M51" s="139"/>
      <c r="N51" s="139"/>
      <c r="O51" s="155"/>
      <c r="P51" s="139"/>
      <c r="Q51" s="139"/>
      <c r="R51" s="139"/>
      <c r="S51" s="139">
        <v>55000</v>
      </c>
      <c r="T51" s="156">
        <v>55000</v>
      </c>
      <c r="U51" s="139">
        <f t="shared" si="10"/>
        <v>0</v>
      </c>
    </row>
    <row r="52" spans="1:21" s="157" customFormat="1" ht="30" customHeight="1">
      <c r="A52" s="154">
        <v>1020</v>
      </c>
      <c r="B52" s="153" t="s">
        <v>100</v>
      </c>
      <c r="C52" s="139">
        <v>335350</v>
      </c>
      <c r="D52" s="139">
        <f t="shared" si="8"/>
        <v>335350</v>
      </c>
      <c r="E52" s="139">
        <f t="shared" si="9"/>
        <v>0</v>
      </c>
      <c r="F52" s="139"/>
      <c r="G52" s="139"/>
      <c r="H52" s="139"/>
      <c r="I52" s="139"/>
      <c r="J52" s="139"/>
      <c r="K52" s="139"/>
      <c r="L52" s="139"/>
      <c r="M52" s="139"/>
      <c r="N52" s="139"/>
      <c r="O52" s="155"/>
      <c r="P52" s="139"/>
      <c r="Q52" s="139"/>
      <c r="R52" s="139"/>
      <c r="S52" s="185">
        <v>335350</v>
      </c>
      <c r="T52" s="156">
        <v>335350</v>
      </c>
      <c r="U52" s="136">
        <f t="shared" si="10"/>
        <v>0</v>
      </c>
    </row>
    <row r="53" spans="1:21" s="157" customFormat="1" ht="45" customHeight="1">
      <c r="A53" s="154">
        <v>1020</v>
      </c>
      <c r="B53" s="153" t="s">
        <v>101</v>
      </c>
      <c r="C53" s="139">
        <v>335350</v>
      </c>
      <c r="D53" s="139">
        <f>H53+I53+J53+O53+P53+S53+M53+E53</f>
        <v>335350</v>
      </c>
      <c r="E53" s="139">
        <f>SUM(F53:G53)</f>
        <v>0</v>
      </c>
      <c r="F53" s="139"/>
      <c r="G53" s="139"/>
      <c r="H53" s="139"/>
      <c r="I53" s="139"/>
      <c r="J53" s="139"/>
      <c r="K53" s="139"/>
      <c r="L53" s="139"/>
      <c r="M53" s="139"/>
      <c r="N53" s="139"/>
      <c r="O53" s="155"/>
      <c r="P53" s="139"/>
      <c r="Q53" s="139"/>
      <c r="R53" s="139"/>
      <c r="S53" s="185">
        <v>335350</v>
      </c>
      <c r="T53" s="156">
        <v>335350</v>
      </c>
      <c r="U53" s="136">
        <f t="shared" si="10"/>
        <v>0</v>
      </c>
    </row>
    <row r="54" spans="1:21" s="157" customFormat="1" ht="98.25" customHeight="1">
      <c r="A54" s="154">
        <v>1020</v>
      </c>
      <c r="B54" s="153" t="s">
        <v>102</v>
      </c>
      <c r="C54" s="139">
        <v>50000</v>
      </c>
      <c r="D54" s="139">
        <f t="shared" si="8"/>
        <v>50000</v>
      </c>
      <c r="E54" s="139">
        <f t="shared" si="9"/>
        <v>0</v>
      </c>
      <c r="F54" s="139"/>
      <c r="G54" s="139"/>
      <c r="H54" s="139"/>
      <c r="I54" s="139"/>
      <c r="J54" s="139"/>
      <c r="K54" s="139"/>
      <c r="L54" s="139"/>
      <c r="M54" s="139"/>
      <c r="N54" s="139"/>
      <c r="O54" s="155"/>
      <c r="P54" s="139"/>
      <c r="Q54" s="139"/>
      <c r="R54" s="139"/>
      <c r="S54" s="139">
        <v>50000</v>
      </c>
      <c r="T54" s="156">
        <v>50000</v>
      </c>
      <c r="U54" s="136">
        <f t="shared" si="10"/>
        <v>0</v>
      </c>
    </row>
    <row r="55" spans="1:21" s="157" customFormat="1" ht="57.75" customHeight="1">
      <c r="A55" s="154">
        <v>1020</v>
      </c>
      <c r="B55" s="153" t="s">
        <v>104</v>
      </c>
      <c r="C55" s="139">
        <v>-391743.49</v>
      </c>
      <c r="D55" s="139">
        <f t="shared" si="8"/>
        <v>-391743.49</v>
      </c>
      <c r="E55" s="139">
        <f t="shared" si="9"/>
        <v>0</v>
      </c>
      <c r="F55" s="139"/>
      <c r="G55" s="139"/>
      <c r="H55" s="139"/>
      <c r="I55" s="139"/>
      <c r="J55" s="139"/>
      <c r="K55" s="139"/>
      <c r="L55" s="139"/>
      <c r="M55" s="139"/>
      <c r="N55" s="139"/>
      <c r="O55" s="155"/>
      <c r="P55" s="139">
        <f>C55</f>
        <v>-391743.49</v>
      </c>
      <c r="Q55" s="139"/>
      <c r="R55" s="139"/>
      <c r="S55" s="139"/>
      <c r="T55" s="190">
        <f>P55</f>
        <v>-391743.49</v>
      </c>
      <c r="U55" s="136">
        <f t="shared" si="10"/>
        <v>0</v>
      </c>
    </row>
    <row r="56" spans="1:21" s="207" customFormat="1" ht="57.75" customHeight="1">
      <c r="A56" s="148">
        <v>1161</v>
      </c>
      <c r="B56" s="158" t="s">
        <v>132</v>
      </c>
      <c r="C56" s="136">
        <v>199100</v>
      </c>
      <c r="D56" s="136">
        <f t="shared" si="8"/>
        <v>199100</v>
      </c>
      <c r="E56" s="136"/>
      <c r="F56" s="136"/>
      <c r="G56" s="136"/>
      <c r="H56" s="161">
        <v>199100</v>
      </c>
      <c r="I56" s="136"/>
      <c r="J56" s="136"/>
      <c r="K56" s="136"/>
      <c r="L56" s="136"/>
      <c r="M56" s="136"/>
      <c r="N56" s="136"/>
      <c r="O56" s="162"/>
      <c r="P56" s="136"/>
      <c r="Q56" s="136"/>
      <c r="R56" s="136"/>
      <c r="S56" s="136"/>
      <c r="T56" s="200">
        <v>199100</v>
      </c>
      <c r="U56" s="136">
        <f t="shared" si="10"/>
        <v>0</v>
      </c>
    </row>
    <row r="57" spans="1:21" s="92" customFormat="1" ht="24" customHeight="1">
      <c r="A57" s="55">
        <v>20000</v>
      </c>
      <c r="B57" s="82" t="s">
        <v>2</v>
      </c>
      <c r="C57" s="122">
        <f>C58+C67</f>
        <v>12434659.64</v>
      </c>
      <c r="D57" s="122">
        <f aca="true" t="shared" si="11" ref="D57:U57">D58+D67</f>
        <v>7375181.0600000005</v>
      </c>
      <c r="E57" s="99">
        <f t="shared" si="11"/>
        <v>2218782</v>
      </c>
      <c r="F57" s="33">
        <f t="shared" si="11"/>
        <v>2165752</v>
      </c>
      <c r="G57" s="122">
        <f t="shared" si="11"/>
        <v>53030</v>
      </c>
      <c r="H57" s="122">
        <f t="shared" si="11"/>
        <v>0</v>
      </c>
      <c r="I57" s="122">
        <f t="shared" si="11"/>
        <v>0</v>
      </c>
      <c r="J57" s="122">
        <f t="shared" si="11"/>
        <v>0</v>
      </c>
      <c r="K57" s="122">
        <f t="shared" si="11"/>
        <v>24468.32</v>
      </c>
      <c r="L57" s="122">
        <f t="shared" si="11"/>
        <v>24468.32</v>
      </c>
      <c r="M57" s="122">
        <f t="shared" si="11"/>
        <v>0</v>
      </c>
      <c r="N57" s="122">
        <f t="shared" si="11"/>
        <v>2208000</v>
      </c>
      <c r="O57" s="122">
        <f t="shared" si="11"/>
        <v>962130.74</v>
      </c>
      <c r="P57" s="122">
        <f t="shared" si="11"/>
        <v>1961800</v>
      </c>
      <c r="Q57" s="122">
        <f t="shared" si="11"/>
        <v>0</v>
      </c>
      <c r="R57" s="122">
        <f t="shared" si="11"/>
        <v>0</v>
      </c>
      <c r="S57" s="122">
        <f t="shared" si="11"/>
        <v>0</v>
      </c>
      <c r="T57" s="122">
        <f t="shared" si="11"/>
        <v>4779620.74</v>
      </c>
      <c r="U57" s="122">
        <f t="shared" si="11"/>
        <v>5059478.58</v>
      </c>
    </row>
    <row r="58" spans="1:21" s="49" customFormat="1" ht="18.75" customHeight="1">
      <c r="A58" s="24">
        <v>2010</v>
      </c>
      <c r="B58" s="26" t="s">
        <v>9</v>
      </c>
      <c r="C58" s="33">
        <f aca="true" t="shared" si="12" ref="C58:U58">SUM(C59:C66)</f>
        <v>6742499.640000001</v>
      </c>
      <c r="D58" s="33">
        <f t="shared" si="12"/>
        <v>2256685.0600000005</v>
      </c>
      <c r="E58" s="99">
        <f t="shared" si="12"/>
        <v>1970446</v>
      </c>
      <c r="F58" s="33">
        <f t="shared" si="12"/>
        <v>1917416</v>
      </c>
      <c r="G58" s="99">
        <f t="shared" si="12"/>
        <v>53030</v>
      </c>
      <c r="H58" s="99">
        <f t="shared" si="12"/>
        <v>0</v>
      </c>
      <c r="I58" s="99">
        <f t="shared" si="12"/>
        <v>0</v>
      </c>
      <c r="J58" s="99">
        <f t="shared" si="12"/>
        <v>0</v>
      </c>
      <c r="K58" s="99">
        <f t="shared" si="12"/>
        <v>24468.32</v>
      </c>
      <c r="L58" s="99">
        <f t="shared" si="12"/>
        <v>24468.32</v>
      </c>
      <c r="M58" s="99">
        <f t="shared" si="12"/>
        <v>0</v>
      </c>
      <c r="N58" s="99">
        <f t="shared" si="12"/>
        <v>0</v>
      </c>
      <c r="O58" s="106">
        <f t="shared" si="12"/>
        <v>261770.74</v>
      </c>
      <c r="P58" s="33">
        <f t="shared" si="12"/>
        <v>0</v>
      </c>
      <c r="Q58" s="122">
        <f t="shared" si="12"/>
        <v>0</v>
      </c>
      <c r="R58" s="122"/>
      <c r="S58" s="122">
        <f t="shared" si="12"/>
        <v>0</v>
      </c>
      <c r="T58" s="122">
        <f t="shared" si="12"/>
        <v>271770.74</v>
      </c>
      <c r="U58" s="122">
        <f t="shared" si="12"/>
        <v>4485814.58</v>
      </c>
    </row>
    <row r="59" spans="1:21" s="93" customFormat="1" ht="45.75" customHeight="1">
      <c r="A59" s="4">
        <v>2010</v>
      </c>
      <c r="B59" s="73" t="s">
        <v>34</v>
      </c>
      <c r="C59" s="68">
        <v>5350700</v>
      </c>
      <c r="D59" s="83">
        <f aca="true" t="shared" si="13" ref="D59:D66">H59+I59+J59+O59+P59+S59+M59+E59</f>
        <v>864884</v>
      </c>
      <c r="E59" s="69">
        <f aca="true" t="shared" si="14" ref="E59:E66">SUM(F59:G59)</f>
        <v>864884</v>
      </c>
      <c r="F59" s="66">
        <v>864884</v>
      </c>
      <c r="G59" s="66"/>
      <c r="H59" s="72"/>
      <c r="I59" s="66"/>
      <c r="J59" s="66"/>
      <c r="K59" s="72">
        <f>SUM(L59:M59)</f>
        <v>0</v>
      </c>
      <c r="L59" s="72"/>
      <c r="M59" s="66"/>
      <c r="N59" s="66"/>
      <c r="O59" s="105"/>
      <c r="P59" s="66"/>
      <c r="Q59" s="66"/>
      <c r="R59" s="66"/>
      <c r="S59" s="66"/>
      <c r="T59" s="91"/>
      <c r="U59" s="123">
        <f>C59-D59</f>
        <v>4485816</v>
      </c>
    </row>
    <row r="60" spans="1:21" s="97" customFormat="1" ht="46.5" customHeight="1">
      <c r="A60" s="74">
        <v>2010</v>
      </c>
      <c r="B60" s="71" t="s">
        <v>44</v>
      </c>
      <c r="C60" s="68">
        <v>1077000</v>
      </c>
      <c r="D60" s="83">
        <f>H60+I60+J60+O60+P60+S60+M60+E60+K60</f>
        <v>1077000.32</v>
      </c>
      <c r="E60" s="69">
        <f t="shared" si="14"/>
        <v>1052532</v>
      </c>
      <c r="F60" s="66">
        <v>1052532</v>
      </c>
      <c r="G60" s="66"/>
      <c r="H60" s="69"/>
      <c r="I60" s="66"/>
      <c r="J60" s="66"/>
      <c r="K60" s="66">
        <f>SUM(L60:M60)</f>
        <v>24468.32</v>
      </c>
      <c r="L60" s="66">
        <v>24468.32</v>
      </c>
      <c r="M60" s="66"/>
      <c r="N60" s="66"/>
      <c r="O60" s="105"/>
      <c r="P60" s="66"/>
      <c r="Q60" s="69"/>
      <c r="R60" s="69"/>
      <c r="S60" s="69"/>
      <c r="T60" s="91"/>
      <c r="U60" s="123">
        <f>C60-D60</f>
        <v>-0.3200000000651926</v>
      </c>
    </row>
    <row r="61" spans="1:21" s="97" customFormat="1" ht="46.5" customHeight="1">
      <c r="A61" s="74">
        <v>2010</v>
      </c>
      <c r="B61" s="71" t="s">
        <v>87</v>
      </c>
      <c r="C61" s="68">
        <v>46128.9</v>
      </c>
      <c r="D61" s="83">
        <f t="shared" si="13"/>
        <v>46130</v>
      </c>
      <c r="E61" s="66">
        <f t="shared" si="14"/>
        <v>46130</v>
      </c>
      <c r="F61" s="66"/>
      <c r="G61" s="72">
        <v>46130</v>
      </c>
      <c r="H61" s="69"/>
      <c r="I61" s="66"/>
      <c r="J61" s="66"/>
      <c r="K61" s="66"/>
      <c r="L61" s="66"/>
      <c r="M61" s="66"/>
      <c r="N61" s="66"/>
      <c r="O61" s="105"/>
      <c r="P61" s="66"/>
      <c r="Q61" s="69"/>
      <c r="R61" s="69"/>
      <c r="S61" s="69"/>
      <c r="T61" s="91"/>
      <c r="U61" s="123">
        <f>C61-D61</f>
        <v>-1.0999999999985448</v>
      </c>
    </row>
    <row r="62" spans="1:21" s="97" customFormat="1" ht="46.5" customHeight="1">
      <c r="A62" s="74">
        <v>2010</v>
      </c>
      <c r="B62" s="71" t="s">
        <v>146</v>
      </c>
      <c r="C62" s="68">
        <v>6900</v>
      </c>
      <c r="D62" s="83">
        <f t="shared" si="13"/>
        <v>6900</v>
      </c>
      <c r="E62" s="66">
        <f t="shared" si="14"/>
        <v>6900</v>
      </c>
      <c r="F62" s="66"/>
      <c r="G62" s="72">
        <v>6900</v>
      </c>
      <c r="H62" s="69"/>
      <c r="I62" s="66"/>
      <c r="J62" s="66"/>
      <c r="K62" s="66"/>
      <c r="L62" s="66"/>
      <c r="M62" s="66"/>
      <c r="N62" s="66"/>
      <c r="O62" s="105"/>
      <c r="P62" s="66"/>
      <c r="Q62" s="69"/>
      <c r="R62" s="69"/>
      <c r="S62" s="69"/>
      <c r="T62" s="91"/>
      <c r="U62" s="123"/>
    </row>
    <row r="63" spans="1:21" s="195" customFormat="1" ht="45" customHeight="1">
      <c r="A63" s="183">
        <v>2010</v>
      </c>
      <c r="B63" s="166" t="s">
        <v>94</v>
      </c>
      <c r="C63" s="171">
        <v>30000</v>
      </c>
      <c r="D63" s="139">
        <f t="shared" si="13"/>
        <v>30000</v>
      </c>
      <c r="E63" s="136">
        <f t="shared" si="14"/>
        <v>0</v>
      </c>
      <c r="F63" s="136"/>
      <c r="G63" s="136"/>
      <c r="H63" s="136"/>
      <c r="I63" s="136"/>
      <c r="J63" s="136"/>
      <c r="K63" s="136"/>
      <c r="L63" s="136"/>
      <c r="M63" s="136"/>
      <c r="N63" s="136"/>
      <c r="O63" s="162">
        <v>30000</v>
      </c>
      <c r="P63" s="159"/>
      <c r="Q63" s="136"/>
      <c r="R63" s="136"/>
      <c r="S63" s="136"/>
      <c r="T63" s="163">
        <v>40000</v>
      </c>
      <c r="U63" s="139">
        <f>C63-H63-I63-J63-O63-P63-S63-M63-Q63-E63</f>
        <v>0</v>
      </c>
    </row>
    <row r="64" spans="1:37" s="157" customFormat="1" ht="50.25" customHeight="1">
      <c r="A64" s="183">
        <v>2010</v>
      </c>
      <c r="B64" s="166" t="s">
        <v>62</v>
      </c>
      <c r="C64" s="150">
        <f>17772</f>
        <v>17772</v>
      </c>
      <c r="D64" s="139">
        <f t="shared" si="13"/>
        <v>17772</v>
      </c>
      <c r="E64" s="139">
        <f t="shared" si="14"/>
        <v>0</v>
      </c>
      <c r="F64" s="139"/>
      <c r="G64" s="139"/>
      <c r="H64" s="139"/>
      <c r="I64" s="139"/>
      <c r="J64" s="139"/>
      <c r="K64" s="139"/>
      <c r="L64" s="139"/>
      <c r="M64" s="139"/>
      <c r="N64" s="139"/>
      <c r="O64" s="155">
        <f>17772</f>
        <v>17772</v>
      </c>
      <c r="P64" s="139"/>
      <c r="Q64" s="139"/>
      <c r="R64" s="139"/>
      <c r="S64" s="139"/>
      <c r="T64" s="163">
        <v>17772</v>
      </c>
      <c r="U64" s="139">
        <f>C64-H64-I64-J64-O64-P64-S64-M64-Q64-E64</f>
        <v>0</v>
      </c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</row>
    <row r="65" spans="1:37" s="157" customFormat="1" ht="38.25" customHeight="1">
      <c r="A65" s="183">
        <v>2010</v>
      </c>
      <c r="B65" s="166" t="s">
        <v>121</v>
      </c>
      <c r="C65" s="150">
        <v>100000</v>
      </c>
      <c r="D65" s="139">
        <f t="shared" si="13"/>
        <v>100000</v>
      </c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55">
        <v>100000</v>
      </c>
      <c r="P65" s="139"/>
      <c r="Q65" s="139"/>
      <c r="R65" s="139"/>
      <c r="S65" s="139"/>
      <c r="T65" s="163">
        <v>100000</v>
      </c>
      <c r="U65" s="139">
        <f>C65-H65-I65-J65-O65-P65-S65-M65-Q65-E65</f>
        <v>0</v>
      </c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</row>
    <row r="66" spans="1:21" s="173" customFormat="1" ht="102" customHeight="1">
      <c r="A66" s="165">
        <v>2144</v>
      </c>
      <c r="B66" s="166" t="s">
        <v>63</v>
      </c>
      <c r="C66" s="150">
        <f>74162.74+9600+30236</f>
        <v>113998.74</v>
      </c>
      <c r="D66" s="139">
        <f t="shared" si="13"/>
        <v>113998.73999999999</v>
      </c>
      <c r="E66" s="139">
        <f t="shared" si="14"/>
        <v>0</v>
      </c>
      <c r="F66" s="172"/>
      <c r="G66" s="139"/>
      <c r="H66" s="139"/>
      <c r="I66" s="139"/>
      <c r="J66" s="139"/>
      <c r="K66" s="139"/>
      <c r="L66" s="139"/>
      <c r="M66" s="139"/>
      <c r="N66" s="139"/>
      <c r="O66" s="155">
        <f>47426+14132.85+12603.89+9600+30236</f>
        <v>113998.73999999999</v>
      </c>
      <c r="P66" s="139"/>
      <c r="Q66" s="139"/>
      <c r="R66" s="139"/>
      <c r="S66" s="139"/>
      <c r="T66" s="156">
        <f>O66</f>
        <v>113998.73999999999</v>
      </c>
      <c r="U66" s="139">
        <f>C66-H66-I66-J66-O66-P66-S66-M66-Q66-E66</f>
        <v>1.4551915228366852E-11</v>
      </c>
    </row>
    <row r="67" spans="1:21" s="50" customFormat="1" ht="19.5" customHeight="1">
      <c r="A67" s="24">
        <v>2111</v>
      </c>
      <c r="B67" s="5" t="s">
        <v>10</v>
      </c>
      <c r="C67" s="37">
        <f aca="true" t="shared" si="15" ref="C67:N67">SUM(C68:C82)</f>
        <v>5692160</v>
      </c>
      <c r="D67" s="37">
        <f t="shared" si="15"/>
        <v>5118496</v>
      </c>
      <c r="E67" s="37">
        <f t="shared" si="15"/>
        <v>248336</v>
      </c>
      <c r="F67" s="37">
        <f t="shared" si="15"/>
        <v>248336</v>
      </c>
      <c r="G67" s="37">
        <f t="shared" si="15"/>
        <v>0</v>
      </c>
      <c r="H67" s="37">
        <f t="shared" si="15"/>
        <v>0</v>
      </c>
      <c r="I67" s="37">
        <f t="shared" si="15"/>
        <v>0</v>
      </c>
      <c r="J67" s="37">
        <f t="shared" si="15"/>
        <v>0</v>
      </c>
      <c r="K67" s="37">
        <f t="shared" si="15"/>
        <v>0</v>
      </c>
      <c r="L67" s="37">
        <f t="shared" si="15"/>
        <v>0</v>
      </c>
      <c r="M67" s="125">
        <f t="shared" si="15"/>
        <v>0</v>
      </c>
      <c r="N67" s="125">
        <f t="shared" si="15"/>
        <v>2208000</v>
      </c>
      <c r="O67" s="120">
        <f>SUM(O68:O82)</f>
        <v>700360</v>
      </c>
      <c r="P67" s="37">
        <f>SUM(P68:P82)</f>
        <v>1961800</v>
      </c>
      <c r="Q67" s="37">
        <f>SUM(Q68:Q82)</f>
        <v>0</v>
      </c>
      <c r="R67" s="37"/>
      <c r="S67" s="125">
        <f>SUM(S68:S82)</f>
        <v>0</v>
      </c>
      <c r="T67" s="193">
        <f>SUM(T68:T82)</f>
        <v>4507850</v>
      </c>
      <c r="U67" s="53">
        <f aca="true" t="shared" si="16" ref="U67:U83">C67-D67</f>
        <v>573664</v>
      </c>
    </row>
    <row r="68" spans="1:21" s="7" customFormat="1" ht="42.75" customHeight="1">
      <c r="A68" s="4">
        <v>2111</v>
      </c>
      <c r="B68" s="73" t="s">
        <v>34</v>
      </c>
      <c r="C68" s="68"/>
      <c r="D68" s="83">
        <f>H68+I68+J68+O68+P68+S68+M68+E68</f>
        <v>0</v>
      </c>
      <c r="E68" s="66">
        <f>SUM(F68:G68)</f>
        <v>0</v>
      </c>
      <c r="F68" s="66"/>
      <c r="G68" s="66"/>
      <c r="H68" s="68"/>
      <c r="I68" s="68"/>
      <c r="J68" s="68"/>
      <c r="K68" s="66">
        <f>SUM(L68:M68)</f>
        <v>0</v>
      </c>
      <c r="L68" s="68"/>
      <c r="M68" s="68"/>
      <c r="N68" s="68"/>
      <c r="O68" s="102"/>
      <c r="P68" s="68"/>
      <c r="Q68" s="68"/>
      <c r="R68" s="68"/>
      <c r="S68" s="68"/>
      <c r="T68" s="91"/>
      <c r="U68" s="83">
        <f t="shared" si="16"/>
        <v>0</v>
      </c>
    </row>
    <row r="69" spans="1:21" s="7" customFormat="1" ht="45.75" customHeight="1">
      <c r="A69" s="4">
        <v>2111</v>
      </c>
      <c r="B69" s="71" t="s">
        <v>44</v>
      </c>
      <c r="C69" s="68">
        <v>822000</v>
      </c>
      <c r="D69" s="83">
        <f>H69+I69+J69+O69+P69+S69+M69+E69</f>
        <v>248336</v>
      </c>
      <c r="E69" s="66">
        <f>SUM(F69:G69)</f>
        <v>248336</v>
      </c>
      <c r="F69" s="66">
        <v>248336</v>
      </c>
      <c r="G69" s="66"/>
      <c r="H69" s="68"/>
      <c r="I69" s="68"/>
      <c r="J69" s="68"/>
      <c r="K69" s="66">
        <f>SUM(L69:M69)</f>
        <v>0</v>
      </c>
      <c r="L69" s="68"/>
      <c r="M69" s="68"/>
      <c r="N69" s="68"/>
      <c r="O69" s="102"/>
      <c r="P69" s="68"/>
      <c r="Q69" s="68"/>
      <c r="R69" s="68"/>
      <c r="S69" s="124"/>
      <c r="T69" s="91"/>
      <c r="U69" s="83">
        <f t="shared" si="16"/>
        <v>573664</v>
      </c>
    </row>
    <row r="70" spans="1:21" s="7" customFormat="1" ht="87.75" customHeight="1">
      <c r="A70" s="4">
        <v>2111</v>
      </c>
      <c r="B70" s="71" t="s">
        <v>155</v>
      </c>
      <c r="C70" s="68">
        <f>10900+9700+50000+27450</f>
        <v>98050</v>
      </c>
      <c r="D70" s="83">
        <f aca="true" t="shared" si="17" ref="D70:D79">H70+I70+J70+O70+P70+S70+M70+E70</f>
        <v>98050</v>
      </c>
      <c r="E70" s="66"/>
      <c r="F70" s="66"/>
      <c r="G70" s="66"/>
      <c r="H70" s="127"/>
      <c r="I70" s="68"/>
      <c r="J70" s="68"/>
      <c r="K70" s="66"/>
      <c r="L70" s="68"/>
      <c r="M70" s="68"/>
      <c r="N70" s="68"/>
      <c r="O70" s="102">
        <f>10900+9700+50000+27450</f>
        <v>98050</v>
      </c>
      <c r="P70" s="68"/>
      <c r="Q70" s="68"/>
      <c r="R70" s="68"/>
      <c r="S70" s="124"/>
      <c r="T70" s="91"/>
      <c r="U70" s="83">
        <f t="shared" si="16"/>
        <v>0</v>
      </c>
    </row>
    <row r="71" spans="1:21" s="182" customFormat="1" ht="45.75" customHeight="1">
      <c r="A71" s="133">
        <v>2111</v>
      </c>
      <c r="B71" s="166" t="s">
        <v>122</v>
      </c>
      <c r="C71" s="150">
        <f>10000</f>
        <v>10000</v>
      </c>
      <c r="D71" s="139">
        <f>H71+I71+J71+O71+P71+S71+M71+E71</f>
        <v>10000</v>
      </c>
      <c r="E71" s="139">
        <f>SUM(F71:G71)</f>
        <v>0</v>
      </c>
      <c r="F71" s="139"/>
      <c r="G71" s="139"/>
      <c r="H71" s="151"/>
      <c r="I71" s="150"/>
      <c r="J71" s="150"/>
      <c r="K71" s="139"/>
      <c r="L71" s="150"/>
      <c r="M71" s="150"/>
      <c r="N71" s="150"/>
      <c r="O71" s="178">
        <v>10000</v>
      </c>
      <c r="P71" s="150"/>
      <c r="Q71" s="150"/>
      <c r="R71" s="150"/>
      <c r="S71" s="179"/>
      <c r="T71" s="163">
        <v>10000</v>
      </c>
      <c r="U71" s="139">
        <f t="shared" si="16"/>
        <v>0</v>
      </c>
    </row>
    <row r="72" spans="1:21" s="182" customFormat="1" ht="80.25" customHeight="1">
      <c r="A72" s="133">
        <v>2111</v>
      </c>
      <c r="B72" s="166" t="s">
        <v>123</v>
      </c>
      <c r="C72" s="150">
        <v>446450</v>
      </c>
      <c r="D72" s="139">
        <f>H72+I72+J72+O72+P72+S72+M72+E72</f>
        <v>446450</v>
      </c>
      <c r="E72" s="139">
        <f>SUM(F72:G72)</f>
        <v>0</v>
      </c>
      <c r="F72" s="139"/>
      <c r="G72" s="139"/>
      <c r="H72" s="151"/>
      <c r="I72" s="150"/>
      <c r="J72" s="150"/>
      <c r="K72" s="139"/>
      <c r="L72" s="150"/>
      <c r="M72" s="150"/>
      <c r="N72" s="150"/>
      <c r="O72" s="178">
        <v>446450</v>
      </c>
      <c r="P72" s="150"/>
      <c r="Q72" s="150"/>
      <c r="R72" s="150"/>
      <c r="S72" s="179"/>
      <c r="T72" s="163">
        <v>446450</v>
      </c>
      <c r="U72" s="139">
        <f t="shared" si="16"/>
        <v>0</v>
      </c>
    </row>
    <row r="73" spans="1:21" s="182" customFormat="1" ht="48.75" customHeight="1">
      <c r="A73" s="133">
        <v>2111</v>
      </c>
      <c r="B73" s="166" t="s">
        <v>129</v>
      </c>
      <c r="C73" s="150">
        <f>10000+68500</f>
        <v>78500</v>
      </c>
      <c r="D73" s="139">
        <f>H73+I73+J73+O73+P73+S73+M73+E73</f>
        <v>78500</v>
      </c>
      <c r="E73" s="139"/>
      <c r="F73" s="139"/>
      <c r="G73" s="139"/>
      <c r="H73" s="151"/>
      <c r="I73" s="150"/>
      <c r="J73" s="150"/>
      <c r="K73" s="139"/>
      <c r="L73" s="150"/>
      <c r="M73" s="150"/>
      <c r="N73" s="150"/>
      <c r="O73" s="178">
        <v>10000</v>
      </c>
      <c r="P73" s="150">
        <v>68500</v>
      </c>
      <c r="Q73" s="150"/>
      <c r="R73" s="150"/>
      <c r="S73" s="179"/>
      <c r="T73" s="163">
        <v>78500</v>
      </c>
      <c r="U73" s="139">
        <f t="shared" si="16"/>
        <v>0</v>
      </c>
    </row>
    <row r="74" spans="1:21" s="182" customFormat="1" ht="45.75" customHeight="1">
      <c r="A74" s="133">
        <v>2111</v>
      </c>
      <c r="B74" s="166" t="s">
        <v>94</v>
      </c>
      <c r="C74" s="150">
        <v>20000</v>
      </c>
      <c r="D74" s="139">
        <f t="shared" si="17"/>
        <v>20000</v>
      </c>
      <c r="E74" s="139">
        <f>SUM(F74:G74)</f>
        <v>0</v>
      </c>
      <c r="F74" s="139"/>
      <c r="G74" s="139"/>
      <c r="H74" s="151"/>
      <c r="I74" s="150"/>
      <c r="J74" s="150"/>
      <c r="K74" s="139"/>
      <c r="L74" s="150"/>
      <c r="M74" s="150"/>
      <c r="N74" s="150"/>
      <c r="O74" s="178">
        <v>20000</v>
      </c>
      <c r="P74" s="150"/>
      <c r="Q74" s="150"/>
      <c r="R74" s="150"/>
      <c r="S74" s="179"/>
      <c r="T74" s="163"/>
      <c r="U74" s="139">
        <f t="shared" si="16"/>
        <v>0</v>
      </c>
    </row>
    <row r="75" spans="1:21" s="182" customFormat="1" ht="69.75" customHeight="1">
      <c r="A75" s="133">
        <v>2111</v>
      </c>
      <c r="B75" s="166" t="s">
        <v>110</v>
      </c>
      <c r="C75" s="150">
        <v>92200</v>
      </c>
      <c r="D75" s="139">
        <f t="shared" si="17"/>
        <v>92200</v>
      </c>
      <c r="E75" s="139"/>
      <c r="F75" s="139"/>
      <c r="G75" s="139"/>
      <c r="H75" s="151"/>
      <c r="I75" s="150"/>
      <c r="J75" s="150"/>
      <c r="K75" s="139"/>
      <c r="L75" s="150"/>
      <c r="M75" s="150"/>
      <c r="N75" s="150"/>
      <c r="O75" s="178"/>
      <c r="P75" s="150">
        <v>92200</v>
      </c>
      <c r="Q75" s="150"/>
      <c r="R75" s="150"/>
      <c r="S75" s="179"/>
      <c r="T75" s="163">
        <v>92200</v>
      </c>
      <c r="U75" s="139">
        <f t="shared" si="16"/>
        <v>0</v>
      </c>
    </row>
    <row r="76" spans="1:21" s="146" customFormat="1" ht="47.25" customHeight="1">
      <c r="A76" s="165">
        <v>2111</v>
      </c>
      <c r="B76" s="166" t="s">
        <v>72</v>
      </c>
      <c r="C76" s="150">
        <v>61700</v>
      </c>
      <c r="D76" s="139">
        <f t="shared" si="17"/>
        <v>61700</v>
      </c>
      <c r="E76" s="139">
        <f aca="true" t="shared" si="18" ref="E76:E83">SUM(F76:G76)</f>
        <v>0</v>
      </c>
      <c r="F76" s="139"/>
      <c r="G76" s="139"/>
      <c r="H76" s="150"/>
      <c r="I76" s="150"/>
      <c r="J76" s="150"/>
      <c r="K76" s="150"/>
      <c r="L76" s="150"/>
      <c r="M76" s="150"/>
      <c r="N76" s="150"/>
      <c r="O76" s="178"/>
      <c r="P76" s="150">
        <v>61700</v>
      </c>
      <c r="Q76" s="150"/>
      <c r="R76" s="150"/>
      <c r="S76" s="150"/>
      <c r="T76" s="163">
        <v>61700</v>
      </c>
      <c r="U76" s="139">
        <f t="shared" si="16"/>
        <v>0</v>
      </c>
    </row>
    <row r="77" spans="1:21" s="146" customFormat="1" ht="36" customHeight="1">
      <c r="A77" s="165">
        <v>2111</v>
      </c>
      <c r="B77" s="166" t="s">
        <v>71</v>
      </c>
      <c r="C77" s="150">
        <v>50300</v>
      </c>
      <c r="D77" s="139">
        <f t="shared" si="17"/>
        <v>50300</v>
      </c>
      <c r="E77" s="139">
        <f t="shared" si="18"/>
        <v>0</v>
      </c>
      <c r="F77" s="139"/>
      <c r="G77" s="139"/>
      <c r="H77" s="150"/>
      <c r="I77" s="150"/>
      <c r="J77" s="150"/>
      <c r="K77" s="150"/>
      <c r="L77" s="150"/>
      <c r="M77" s="150"/>
      <c r="N77" s="150"/>
      <c r="O77" s="178">
        <v>50300</v>
      </c>
      <c r="P77" s="150"/>
      <c r="Q77" s="150"/>
      <c r="R77" s="150"/>
      <c r="S77" s="150"/>
      <c r="T77" s="163">
        <v>50300</v>
      </c>
      <c r="U77" s="139">
        <f t="shared" si="16"/>
        <v>0</v>
      </c>
    </row>
    <row r="78" spans="1:21" s="182" customFormat="1" ht="46.5">
      <c r="A78" s="133">
        <v>2111</v>
      </c>
      <c r="B78" s="166" t="s">
        <v>70</v>
      </c>
      <c r="C78" s="141">
        <f>213700+57700+7860</f>
        <v>279260</v>
      </c>
      <c r="D78" s="142">
        <f t="shared" si="17"/>
        <v>279260</v>
      </c>
      <c r="E78" s="137">
        <f t="shared" si="18"/>
        <v>0</v>
      </c>
      <c r="F78" s="137"/>
      <c r="G78" s="137"/>
      <c r="H78" s="135"/>
      <c r="I78" s="135"/>
      <c r="J78" s="135"/>
      <c r="K78" s="135"/>
      <c r="L78" s="135"/>
      <c r="M78" s="135"/>
      <c r="N78" s="141"/>
      <c r="O78" s="144">
        <f>57700+7860</f>
        <v>65560</v>
      </c>
      <c r="P78" s="141">
        <v>213700</v>
      </c>
      <c r="Q78" s="141"/>
      <c r="R78" s="141"/>
      <c r="S78" s="141"/>
      <c r="T78" s="145">
        <v>35000</v>
      </c>
      <c r="U78" s="139">
        <f t="shared" si="16"/>
        <v>0</v>
      </c>
    </row>
    <row r="79" spans="1:21" s="146" customFormat="1" ht="48.75" customHeight="1">
      <c r="A79" s="165">
        <v>2111</v>
      </c>
      <c r="B79" s="166" t="s">
        <v>68</v>
      </c>
      <c r="C79" s="141">
        <v>8000</v>
      </c>
      <c r="D79" s="142">
        <f t="shared" si="17"/>
        <v>8000</v>
      </c>
      <c r="E79" s="137">
        <f t="shared" si="18"/>
        <v>0</v>
      </c>
      <c r="F79" s="142"/>
      <c r="G79" s="142"/>
      <c r="H79" s="141"/>
      <c r="I79" s="141"/>
      <c r="J79" s="141"/>
      <c r="K79" s="141"/>
      <c r="L79" s="141"/>
      <c r="M79" s="141"/>
      <c r="N79" s="141"/>
      <c r="O79" s="144"/>
      <c r="P79" s="141">
        <v>8000</v>
      </c>
      <c r="Q79" s="141"/>
      <c r="R79" s="141"/>
      <c r="S79" s="141"/>
      <c r="T79" s="145">
        <v>8000</v>
      </c>
      <c r="U79" s="139">
        <f t="shared" si="16"/>
        <v>0</v>
      </c>
    </row>
    <row r="80" spans="1:21" s="146" customFormat="1" ht="199.5" customHeight="1">
      <c r="A80" s="165">
        <v>2111</v>
      </c>
      <c r="B80" s="166" t="s">
        <v>69</v>
      </c>
      <c r="C80" s="141">
        <v>1510000</v>
      </c>
      <c r="D80" s="142">
        <v>1510000</v>
      </c>
      <c r="E80" s="142">
        <f t="shared" si="18"/>
        <v>0</v>
      </c>
      <c r="F80" s="142"/>
      <c r="G80" s="142"/>
      <c r="H80" s="141"/>
      <c r="I80" s="141"/>
      <c r="J80" s="141"/>
      <c r="K80" s="141"/>
      <c r="L80" s="141"/>
      <c r="M80" s="141"/>
      <c r="N80" s="141"/>
      <c r="O80" s="144"/>
      <c r="P80" s="141">
        <v>1510000</v>
      </c>
      <c r="Q80" s="141"/>
      <c r="R80" s="141"/>
      <c r="S80" s="141"/>
      <c r="T80" s="145">
        <v>1510000</v>
      </c>
      <c r="U80" s="139">
        <f t="shared" si="16"/>
        <v>0</v>
      </c>
    </row>
    <row r="81" spans="1:21" s="146" customFormat="1" ht="57" customHeight="1">
      <c r="A81" s="133">
        <v>2111</v>
      </c>
      <c r="B81" s="166" t="s">
        <v>48</v>
      </c>
      <c r="C81" s="141">
        <v>2208000</v>
      </c>
      <c r="D81" s="142">
        <f>H81+I81+J81+O81+P81+S81+M81+E81+N81</f>
        <v>2208000</v>
      </c>
      <c r="E81" s="142">
        <f t="shared" si="18"/>
        <v>0</v>
      </c>
      <c r="F81" s="142"/>
      <c r="G81" s="142"/>
      <c r="H81" s="141"/>
      <c r="I81" s="141"/>
      <c r="J81" s="141"/>
      <c r="K81" s="141"/>
      <c r="L81" s="141"/>
      <c r="M81" s="141"/>
      <c r="N81" s="143">
        <v>2208000</v>
      </c>
      <c r="O81" s="144"/>
      <c r="P81" s="141"/>
      <c r="Q81" s="141"/>
      <c r="R81" s="141"/>
      <c r="S81" s="141"/>
      <c r="T81" s="145">
        <v>2208000</v>
      </c>
      <c r="U81" s="139">
        <f t="shared" si="16"/>
        <v>0</v>
      </c>
    </row>
    <row r="82" spans="1:21" s="146" customFormat="1" ht="69" customHeight="1">
      <c r="A82" s="165">
        <v>2111</v>
      </c>
      <c r="B82" s="166" t="s">
        <v>59</v>
      </c>
      <c r="C82" s="141">
        <v>7700</v>
      </c>
      <c r="D82" s="142">
        <f>H82+I82+J82+O82+P82+S82+M82+E82</f>
        <v>7700</v>
      </c>
      <c r="E82" s="142">
        <f t="shared" si="18"/>
        <v>0</v>
      </c>
      <c r="F82" s="142"/>
      <c r="G82" s="142"/>
      <c r="H82" s="141"/>
      <c r="I82" s="141"/>
      <c r="J82" s="141"/>
      <c r="K82" s="141"/>
      <c r="L82" s="141"/>
      <c r="M82" s="141"/>
      <c r="N82" s="141"/>
      <c r="O82" s="144"/>
      <c r="P82" s="141">
        <v>7700</v>
      </c>
      <c r="Q82" s="141"/>
      <c r="R82" s="141"/>
      <c r="S82" s="141"/>
      <c r="T82" s="145">
        <v>7700</v>
      </c>
      <c r="U82" s="139">
        <f t="shared" si="16"/>
        <v>0</v>
      </c>
    </row>
    <row r="83" spans="1:33" s="140" customFormat="1" ht="99" customHeight="1">
      <c r="A83" s="186">
        <v>2146</v>
      </c>
      <c r="B83" s="184" t="s">
        <v>80</v>
      </c>
      <c r="C83" s="141">
        <f>25000-588345</f>
        <v>-563345</v>
      </c>
      <c r="D83" s="142">
        <f>H83+I83+J83+O83+P83+S83+M83+E83</f>
        <v>-563345</v>
      </c>
      <c r="E83" s="142">
        <f t="shared" si="18"/>
        <v>0</v>
      </c>
      <c r="F83" s="136"/>
      <c r="G83" s="136"/>
      <c r="H83" s="171"/>
      <c r="I83" s="171"/>
      <c r="J83" s="171"/>
      <c r="K83" s="171"/>
      <c r="L83" s="171"/>
      <c r="M83" s="171"/>
      <c r="N83" s="171"/>
      <c r="O83" s="187"/>
      <c r="P83" s="171"/>
      <c r="Q83" s="171"/>
      <c r="R83" s="171"/>
      <c r="S83" s="196">
        <f>25000-588345</f>
        <v>-563345</v>
      </c>
      <c r="T83" s="200">
        <f>S83</f>
        <v>-563345</v>
      </c>
      <c r="U83" s="139">
        <f t="shared" si="16"/>
        <v>0</v>
      </c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</row>
    <row r="84" spans="1:21" s="94" customFormat="1" ht="31.5" customHeight="1">
      <c r="A84" s="55">
        <v>30000</v>
      </c>
      <c r="B84" s="95" t="s">
        <v>14</v>
      </c>
      <c r="C84" s="86">
        <f>SUM(C85:C97)</f>
        <v>-554475.13</v>
      </c>
      <c r="D84" s="86">
        <f aca="true" t="shared" si="19" ref="D84:U84">SUM(D85:D97)</f>
        <v>-1252268.13</v>
      </c>
      <c r="E84" s="86">
        <f t="shared" si="19"/>
        <v>0</v>
      </c>
      <c r="F84" s="86">
        <f t="shared" si="19"/>
        <v>0</v>
      </c>
      <c r="G84" s="86">
        <f t="shared" si="19"/>
        <v>0</v>
      </c>
      <c r="H84" s="86">
        <f t="shared" si="19"/>
        <v>0</v>
      </c>
      <c r="I84" s="86">
        <f t="shared" si="19"/>
        <v>0</v>
      </c>
      <c r="J84" s="86">
        <f t="shared" si="19"/>
        <v>0</v>
      </c>
      <c r="K84" s="86">
        <f t="shared" si="19"/>
        <v>0</v>
      </c>
      <c r="L84" s="86">
        <f t="shared" si="19"/>
        <v>0</v>
      </c>
      <c r="M84" s="86">
        <f t="shared" si="19"/>
        <v>0</v>
      </c>
      <c r="N84" s="86">
        <f t="shared" si="19"/>
        <v>0</v>
      </c>
      <c r="O84" s="86">
        <f t="shared" si="19"/>
        <v>122431.87</v>
      </c>
      <c r="P84" s="86">
        <f t="shared" si="19"/>
        <v>0</v>
      </c>
      <c r="Q84" s="86">
        <f t="shared" si="19"/>
        <v>0</v>
      </c>
      <c r="R84" s="86">
        <f t="shared" si="19"/>
        <v>-4700</v>
      </c>
      <c r="S84" s="192">
        <f t="shared" si="19"/>
        <v>-1370000</v>
      </c>
      <c r="T84" s="86">
        <f t="shared" si="19"/>
        <v>-427268.13</v>
      </c>
      <c r="U84" s="86">
        <f t="shared" si="19"/>
        <v>597293</v>
      </c>
    </row>
    <row r="85" spans="1:21" s="45" customFormat="1" ht="22.5" customHeight="1">
      <c r="A85" s="84">
        <v>3121</v>
      </c>
      <c r="B85" s="73" t="s">
        <v>35</v>
      </c>
      <c r="C85" s="38">
        <v>0</v>
      </c>
      <c r="D85" s="66">
        <f aca="true" t="shared" si="20" ref="D85:D94">H85+I85+J85+O85+P85+S85+E85+K85+Q85+R85</f>
        <v>0</v>
      </c>
      <c r="E85" s="36">
        <f>SUM(F85:G85)</f>
        <v>0</v>
      </c>
      <c r="F85" s="38"/>
      <c r="G85" s="38"/>
      <c r="H85" s="38"/>
      <c r="I85" s="38"/>
      <c r="J85" s="38"/>
      <c r="K85" s="66">
        <f>SUM(L85:M85)</f>
        <v>0</v>
      </c>
      <c r="L85" s="38"/>
      <c r="M85" s="38"/>
      <c r="N85" s="38"/>
      <c r="O85" s="108"/>
      <c r="P85" s="38"/>
      <c r="Q85" s="38"/>
      <c r="R85" s="38"/>
      <c r="S85" s="38"/>
      <c r="T85" s="38"/>
      <c r="U85" s="83">
        <f aca="true" t="shared" si="21" ref="U85:U105">C85-D85</f>
        <v>0</v>
      </c>
    </row>
    <row r="86" spans="1:21" s="45" customFormat="1" ht="46.5" customHeight="1">
      <c r="A86" s="84">
        <v>3104</v>
      </c>
      <c r="B86" s="73" t="s">
        <v>81</v>
      </c>
      <c r="C86" s="38">
        <v>597293</v>
      </c>
      <c r="D86" s="66">
        <f t="shared" si="20"/>
        <v>0</v>
      </c>
      <c r="E86" s="36"/>
      <c r="F86" s="38"/>
      <c r="G86" s="38"/>
      <c r="H86" s="38"/>
      <c r="I86" s="38"/>
      <c r="J86" s="38"/>
      <c r="K86" s="66"/>
      <c r="L86" s="38"/>
      <c r="M86" s="38"/>
      <c r="N86" s="38"/>
      <c r="O86" s="108"/>
      <c r="P86" s="38"/>
      <c r="Q86" s="38"/>
      <c r="R86" s="38"/>
      <c r="S86" s="38"/>
      <c r="T86" s="38"/>
      <c r="U86" s="83">
        <f t="shared" si="21"/>
        <v>597293</v>
      </c>
    </row>
    <row r="87" spans="1:21" s="191" customFormat="1" ht="30" customHeight="1">
      <c r="A87" s="154">
        <v>3104</v>
      </c>
      <c r="B87" s="166" t="s">
        <v>118</v>
      </c>
      <c r="C87" s="141">
        <v>20000</v>
      </c>
      <c r="D87" s="139">
        <f t="shared" si="20"/>
        <v>20000</v>
      </c>
      <c r="E87" s="142"/>
      <c r="F87" s="141"/>
      <c r="G87" s="141"/>
      <c r="H87" s="141"/>
      <c r="I87" s="141"/>
      <c r="J87" s="141"/>
      <c r="K87" s="139"/>
      <c r="L87" s="141"/>
      <c r="M87" s="141"/>
      <c r="N87" s="141"/>
      <c r="O87" s="144">
        <v>20000</v>
      </c>
      <c r="P87" s="141"/>
      <c r="Q87" s="141"/>
      <c r="R87" s="141"/>
      <c r="S87" s="141"/>
      <c r="T87" s="141">
        <v>20000</v>
      </c>
      <c r="U87" s="139">
        <f t="shared" si="21"/>
        <v>0</v>
      </c>
    </row>
    <row r="88" spans="1:21" s="191" customFormat="1" ht="125.25" customHeight="1">
      <c r="A88" s="165">
        <v>3104</v>
      </c>
      <c r="B88" s="166" t="s">
        <v>112</v>
      </c>
      <c r="C88" s="141">
        <f>15000+13626.18+12057.48+4542+43706.21+13500</f>
        <v>102431.87</v>
      </c>
      <c r="D88" s="139">
        <f t="shared" si="20"/>
        <v>102431.87</v>
      </c>
      <c r="E88" s="142">
        <f>SUM(F88:G88)</f>
        <v>0</v>
      </c>
      <c r="F88" s="141"/>
      <c r="G88" s="141"/>
      <c r="H88" s="141"/>
      <c r="I88" s="141"/>
      <c r="J88" s="141"/>
      <c r="K88" s="139">
        <f>SUM(L88:M88)</f>
        <v>0</v>
      </c>
      <c r="L88" s="141"/>
      <c r="M88" s="141"/>
      <c r="N88" s="141"/>
      <c r="O88" s="144">
        <f>C88</f>
        <v>102431.87</v>
      </c>
      <c r="P88" s="141"/>
      <c r="Q88" s="141"/>
      <c r="R88" s="141"/>
      <c r="S88" s="141"/>
      <c r="T88" s="141">
        <f>O88</f>
        <v>102431.87</v>
      </c>
      <c r="U88" s="139">
        <f t="shared" si="21"/>
        <v>0</v>
      </c>
    </row>
    <row r="89" spans="1:21" s="140" customFormat="1" ht="33.75" customHeight="1">
      <c r="A89" s="133">
        <v>3043</v>
      </c>
      <c r="B89" s="147" t="s">
        <v>51</v>
      </c>
      <c r="C89" s="135">
        <v>-825000</v>
      </c>
      <c r="D89" s="136">
        <f t="shared" si="20"/>
        <v>-825000</v>
      </c>
      <c r="E89" s="137"/>
      <c r="F89" s="135"/>
      <c r="G89" s="135"/>
      <c r="H89" s="135"/>
      <c r="I89" s="135"/>
      <c r="J89" s="135"/>
      <c r="K89" s="136"/>
      <c r="L89" s="135"/>
      <c r="M89" s="135"/>
      <c r="N89" s="135"/>
      <c r="O89" s="138"/>
      <c r="P89" s="135"/>
      <c r="Q89" s="135"/>
      <c r="R89" s="135"/>
      <c r="S89" s="132">
        <v>-825000</v>
      </c>
      <c r="T89" s="135"/>
      <c r="U89" s="139">
        <f t="shared" si="21"/>
        <v>0</v>
      </c>
    </row>
    <row r="90" spans="1:21" s="140" customFormat="1" ht="36.75" customHeight="1">
      <c r="A90" s="133">
        <v>3242</v>
      </c>
      <c r="B90" s="134" t="s">
        <v>45</v>
      </c>
      <c r="C90" s="135">
        <v>2300</v>
      </c>
      <c r="D90" s="136">
        <f t="shared" si="20"/>
        <v>2300</v>
      </c>
      <c r="E90" s="137"/>
      <c r="F90" s="135"/>
      <c r="G90" s="135"/>
      <c r="H90" s="135"/>
      <c r="I90" s="135"/>
      <c r="J90" s="135"/>
      <c r="K90" s="136"/>
      <c r="L90" s="135"/>
      <c r="M90" s="135"/>
      <c r="N90" s="135"/>
      <c r="O90" s="138"/>
      <c r="P90" s="135"/>
      <c r="Q90" s="135"/>
      <c r="R90" s="135">
        <v>2300</v>
      </c>
      <c r="S90" s="135"/>
      <c r="T90" s="135">
        <v>2300</v>
      </c>
      <c r="U90" s="139">
        <f t="shared" si="21"/>
        <v>0</v>
      </c>
    </row>
    <row r="91" spans="1:21" s="140" customFormat="1" ht="54.75" customHeight="1">
      <c r="A91" s="133">
        <v>3090</v>
      </c>
      <c r="B91" s="134" t="s">
        <v>50</v>
      </c>
      <c r="C91" s="135">
        <v>-7000</v>
      </c>
      <c r="D91" s="136">
        <f t="shared" si="20"/>
        <v>-7000</v>
      </c>
      <c r="E91" s="137"/>
      <c r="F91" s="135"/>
      <c r="G91" s="135"/>
      <c r="H91" s="135"/>
      <c r="I91" s="135"/>
      <c r="J91" s="135"/>
      <c r="K91" s="136"/>
      <c r="L91" s="135"/>
      <c r="M91" s="135"/>
      <c r="N91" s="135"/>
      <c r="O91" s="138"/>
      <c r="P91" s="135"/>
      <c r="Q91" s="135"/>
      <c r="R91" s="135">
        <v>-7000</v>
      </c>
      <c r="S91" s="135"/>
      <c r="T91" s="135">
        <v>-7000</v>
      </c>
      <c r="U91" s="139">
        <f t="shared" si="21"/>
        <v>0</v>
      </c>
    </row>
    <row r="92" spans="1:21" s="140" customFormat="1" ht="111.75" customHeight="1">
      <c r="A92" s="133">
        <v>3022</v>
      </c>
      <c r="B92" s="134" t="s">
        <v>120</v>
      </c>
      <c r="C92" s="135">
        <v>-545000</v>
      </c>
      <c r="D92" s="136">
        <f t="shared" si="20"/>
        <v>-545000</v>
      </c>
      <c r="E92" s="137"/>
      <c r="F92" s="135"/>
      <c r="G92" s="135"/>
      <c r="H92" s="135"/>
      <c r="I92" s="135"/>
      <c r="J92" s="135"/>
      <c r="K92" s="136"/>
      <c r="L92" s="135"/>
      <c r="M92" s="135"/>
      <c r="N92" s="135"/>
      <c r="O92" s="138"/>
      <c r="P92" s="135"/>
      <c r="Q92" s="135"/>
      <c r="R92" s="135"/>
      <c r="S92" s="132">
        <v>-545000</v>
      </c>
      <c r="T92" s="135">
        <f>S92</f>
        <v>-545000</v>
      </c>
      <c r="U92" s="139">
        <f t="shared" si="21"/>
        <v>0</v>
      </c>
    </row>
    <row r="93" spans="1:21" s="45" customFormat="1" ht="20.25" customHeight="1">
      <c r="A93" s="4">
        <v>3192</v>
      </c>
      <c r="B93" s="73" t="s">
        <v>82</v>
      </c>
      <c r="C93" s="38">
        <f>2390+7010</f>
        <v>9400</v>
      </c>
      <c r="D93" s="66">
        <f t="shared" si="20"/>
        <v>0</v>
      </c>
      <c r="E93" s="36"/>
      <c r="F93" s="38"/>
      <c r="G93" s="38"/>
      <c r="H93" s="38"/>
      <c r="I93" s="38"/>
      <c r="J93" s="38"/>
      <c r="K93" s="66"/>
      <c r="L93" s="38"/>
      <c r="M93" s="38"/>
      <c r="N93" s="38"/>
      <c r="O93" s="108"/>
      <c r="P93" s="38"/>
      <c r="Q93" s="38"/>
      <c r="R93" s="38"/>
      <c r="S93" s="38"/>
      <c r="T93" s="38"/>
      <c r="U93" s="83"/>
    </row>
    <row r="94" spans="1:21" s="45" customFormat="1" ht="42.75" customHeight="1">
      <c r="A94" s="4">
        <v>3192</v>
      </c>
      <c r="B94" s="73" t="s">
        <v>83</v>
      </c>
      <c r="C94" s="38">
        <v>26750</v>
      </c>
      <c r="D94" s="66">
        <f t="shared" si="20"/>
        <v>0</v>
      </c>
      <c r="E94" s="36"/>
      <c r="F94" s="38"/>
      <c r="G94" s="38"/>
      <c r="H94" s="38"/>
      <c r="I94" s="38"/>
      <c r="J94" s="38"/>
      <c r="K94" s="66"/>
      <c r="L94" s="38"/>
      <c r="M94" s="38"/>
      <c r="N94" s="38"/>
      <c r="O94" s="108"/>
      <c r="P94" s="38"/>
      <c r="Q94" s="38"/>
      <c r="R94" s="38"/>
      <c r="S94" s="38"/>
      <c r="T94" s="38"/>
      <c r="U94" s="83"/>
    </row>
    <row r="95" spans="1:21" s="45" customFormat="1" ht="54.75" customHeight="1">
      <c r="A95" s="4">
        <v>3192</v>
      </c>
      <c r="B95" s="73" t="s">
        <v>84</v>
      </c>
      <c r="C95" s="38">
        <v>2250</v>
      </c>
      <c r="D95" s="66">
        <f aca="true" t="shared" si="22" ref="D95:D105">H95+I95+J95+O95+P95+S95+E95+K95+Q95+R95</f>
        <v>0</v>
      </c>
      <c r="E95" s="36"/>
      <c r="F95" s="38"/>
      <c r="G95" s="38"/>
      <c r="H95" s="38"/>
      <c r="I95" s="38"/>
      <c r="J95" s="38"/>
      <c r="K95" s="66"/>
      <c r="L95" s="38"/>
      <c r="M95" s="38"/>
      <c r="N95" s="38"/>
      <c r="O95" s="108"/>
      <c r="P95" s="38"/>
      <c r="Q95" s="38"/>
      <c r="R95" s="38"/>
      <c r="S95" s="38"/>
      <c r="T95" s="38"/>
      <c r="U95" s="83"/>
    </row>
    <row r="96" spans="1:21" s="45" customFormat="1" ht="27.75" customHeight="1">
      <c r="A96" s="4">
        <v>3192</v>
      </c>
      <c r="B96" s="73" t="s">
        <v>85</v>
      </c>
      <c r="C96" s="38">
        <v>5000</v>
      </c>
      <c r="D96" s="66">
        <f t="shared" si="22"/>
        <v>0</v>
      </c>
      <c r="E96" s="36"/>
      <c r="F96" s="38"/>
      <c r="G96" s="38"/>
      <c r="H96" s="38"/>
      <c r="I96" s="38"/>
      <c r="J96" s="38"/>
      <c r="K96" s="66"/>
      <c r="L96" s="38"/>
      <c r="M96" s="38"/>
      <c r="N96" s="38"/>
      <c r="O96" s="108"/>
      <c r="P96" s="38"/>
      <c r="Q96" s="38"/>
      <c r="R96" s="38"/>
      <c r="S96" s="38"/>
      <c r="T96" s="38"/>
      <c r="U96" s="83"/>
    </row>
    <row r="97" spans="1:21" s="45" customFormat="1" ht="27.75" customHeight="1">
      <c r="A97" s="4">
        <v>3192</v>
      </c>
      <c r="B97" s="73" t="s">
        <v>86</v>
      </c>
      <c r="C97" s="38">
        <v>57100</v>
      </c>
      <c r="D97" s="66">
        <f t="shared" si="22"/>
        <v>0</v>
      </c>
      <c r="E97" s="36"/>
      <c r="F97" s="38"/>
      <c r="G97" s="38"/>
      <c r="H97" s="38"/>
      <c r="I97" s="38"/>
      <c r="J97" s="38"/>
      <c r="K97" s="66"/>
      <c r="L97" s="38"/>
      <c r="M97" s="38"/>
      <c r="N97" s="38"/>
      <c r="O97" s="108"/>
      <c r="P97" s="38"/>
      <c r="Q97" s="38"/>
      <c r="R97" s="38"/>
      <c r="S97" s="38"/>
      <c r="T97" s="38"/>
      <c r="U97" s="83"/>
    </row>
    <row r="98" spans="1:21" s="96" customFormat="1" ht="30.75" customHeight="1">
      <c r="A98" s="55">
        <v>40000</v>
      </c>
      <c r="B98" s="95" t="s">
        <v>12</v>
      </c>
      <c r="C98" s="53">
        <f aca="true" t="shared" si="23" ref="C98:U98">SUM(C99:C105)</f>
        <v>168488.59000000003</v>
      </c>
      <c r="D98" s="53">
        <f t="shared" si="23"/>
        <v>-11803.89</v>
      </c>
      <c r="E98" s="53">
        <f t="shared" si="23"/>
        <v>0</v>
      </c>
      <c r="F98" s="121">
        <f t="shared" si="23"/>
        <v>0</v>
      </c>
      <c r="G98" s="53">
        <f t="shared" si="23"/>
        <v>0</v>
      </c>
      <c r="H98" s="53">
        <f t="shared" si="23"/>
        <v>0</v>
      </c>
      <c r="I98" s="53">
        <f t="shared" si="23"/>
        <v>0</v>
      </c>
      <c r="J98" s="53">
        <f t="shared" si="23"/>
        <v>0</v>
      </c>
      <c r="K98" s="53">
        <f t="shared" si="23"/>
        <v>0</v>
      </c>
      <c r="L98" s="53">
        <f t="shared" si="23"/>
        <v>0</v>
      </c>
      <c r="M98" s="53">
        <f t="shared" si="23"/>
        <v>0</v>
      </c>
      <c r="N98" s="53">
        <f t="shared" si="23"/>
        <v>0</v>
      </c>
      <c r="O98" s="53">
        <f t="shared" si="23"/>
        <v>16600</v>
      </c>
      <c r="P98" s="53">
        <f t="shared" si="23"/>
        <v>-28403.89</v>
      </c>
      <c r="Q98" s="53">
        <f t="shared" si="23"/>
        <v>0</v>
      </c>
      <c r="R98" s="53">
        <f t="shared" si="23"/>
        <v>0</v>
      </c>
      <c r="S98" s="53">
        <f t="shared" si="23"/>
        <v>0</v>
      </c>
      <c r="T98" s="53">
        <f t="shared" si="23"/>
        <v>16600</v>
      </c>
      <c r="U98" s="53">
        <f t="shared" si="23"/>
        <v>0</v>
      </c>
    </row>
    <row r="99" spans="1:21" s="94" customFormat="1" ht="47.25" customHeight="1">
      <c r="A99" s="70">
        <v>40000</v>
      </c>
      <c r="B99" s="73" t="s">
        <v>34</v>
      </c>
      <c r="C99" s="83">
        <v>142079.16</v>
      </c>
      <c r="D99" s="66">
        <f t="shared" si="22"/>
        <v>0</v>
      </c>
      <c r="E99" s="36">
        <f>SUM(F99:G99)</f>
        <v>0</v>
      </c>
      <c r="F99" s="72"/>
      <c r="G99" s="66"/>
      <c r="H99" s="66"/>
      <c r="I99" s="66"/>
      <c r="J99" s="66"/>
      <c r="K99" s="66">
        <f>SUM(L99:M99)</f>
        <v>0</v>
      </c>
      <c r="L99" s="66"/>
      <c r="M99" s="66"/>
      <c r="N99" s="66"/>
      <c r="O99" s="66"/>
      <c r="P99" s="66"/>
      <c r="Q99" s="66"/>
      <c r="R99" s="66"/>
      <c r="S99" s="66"/>
      <c r="T99" s="66"/>
      <c r="U99" s="83"/>
    </row>
    <row r="100" spans="1:21" s="94" customFormat="1" ht="32.25" customHeight="1">
      <c r="A100" s="70">
        <v>40000</v>
      </c>
      <c r="B100" s="73" t="s">
        <v>39</v>
      </c>
      <c r="C100" s="83">
        <f>21551.98+6034.93+10626.41</f>
        <v>38213.32</v>
      </c>
      <c r="D100" s="66">
        <f t="shared" si="22"/>
        <v>0</v>
      </c>
      <c r="E100" s="36">
        <f>SUM(F100:G100)</f>
        <v>0</v>
      </c>
      <c r="F100" s="72"/>
      <c r="G100" s="66"/>
      <c r="H100" s="66"/>
      <c r="I100" s="66"/>
      <c r="J100" s="66"/>
      <c r="K100" s="66">
        <f>SUM(L100:M100)</f>
        <v>0</v>
      </c>
      <c r="L100" s="66"/>
      <c r="M100" s="66"/>
      <c r="N100" s="66"/>
      <c r="O100" s="66"/>
      <c r="P100" s="66"/>
      <c r="Q100" s="66"/>
      <c r="R100" s="66"/>
      <c r="S100" s="66"/>
      <c r="T100" s="66"/>
      <c r="U100" s="83"/>
    </row>
    <row r="101" spans="1:21" s="94" customFormat="1" ht="44.25" customHeight="1">
      <c r="A101" s="70">
        <v>4060</v>
      </c>
      <c r="B101" s="73" t="s">
        <v>162</v>
      </c>
      <c r="C101" s="83">
        <v>-28403.89</v>
      </c>
      <c r="D101" s="66">
        <f t="shared" si="22"/>
        <v>-28403.89</v>
      </c>
      <c r="E101" s="36"/>
      <c r="F101" s="72"/>
      <c r="G101" s="66"/>
      <c r="H101" s="66"/>
      <c r="I101" s="66"/>
      <c r="J101" s="66"/>
      <c r="K101" s="66"/>
      <c r="L101" s="66"/>
      <c r="M101" s="66"/>
      <c r="N101" s="66"/>
      <c r="O101" s="66"/>
      <c r="P101" s="66">
        <v>-28403.89</v>
      </c>
      <c r="Q101" s="66"/>
      <c r="R101" s="66"/>
      <c r="S101" s="66"/>
      <c r="T101" s="66"/>
      <c r="U101" s="83">
        <f t="shared" si="21"/>
        <v>0</v>
      </c>
    </row>
    <row r="102" spans="1:21" s="94" customFormat="1" ht="27.75" customHeight="1">
      <c r="A102" s="70">
        <v>4030</v>
      </c>
      <c r="B102" s="73" t="s">
        <v>150</v>
      </c>
      <c r="C102" s="83">
        <v>5300</v>
      </c>
      <c r="D102" s="66">
        <f t="shared" si="22"/>
        <v>5300</v>
      </c>
      <c r="E102" s="36"/>
      <c r="F102" s="72"/>
      <c r="G102" s="66"/>
      <c r="H102" s="66">
        <v>5300</v>
      </c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83">
        <f t="shared" si="21"/>
        <v>0</v>
      </c>
    </row>
    <row r="103" spans="1:21" s="94" customFormat="1" ht="44.25" customHeight="1">
      <c r="A103" s="70">
        <v>4081</v>
      </c>
      <c r="B103" s="73" t="s">
        <v>152</v>
      </c>
      <c r="C103" s="83">
        <v>4000</v>
      </c>
      <c r="D103" s="66">
        <f t="shared" si="22"/>
        <v>4000</v>
      </c>
      <c r="E103" s="36"/>
      <c r="F103" s="72"/>
      <c r="G103" s="66"/>
      <c r="H103" s="66">
        <v>4000</v>
      </c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83">
        <f t="shared" si="21"/>
        <v>0</v>
      </c>
    </row>
    <row r="104" spans="1:21" s="94" customFormat="1" ht="29.25" customHeight="1">
      <c r="A104" s="70">
        <v>4082</v>
      </c>
      <c r="B104" s="73" t="s">
        <v>151</v>
      </c>
      <c r="C104" s="83">
        <v>-9300</v>
      </c>
      <c r="D104" s="66">
        <f t="shared" si="22"/>
        <v>-9300</v>
      </c>
      <c r="E104" s="36"/>
      <c r="F104" s="72"/>
      <c r="G104" s="66"/>
      <c r="H104" s="66">
        <v>-9300</v>
      </c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83">
        <f t="shared" si="21"/>
        <v>0</v>
      </c>
    </row>
    <row r="105" spans="1:21" s="191" customFormat="1" ht="105.75" customHeight="1">
      <c r="A105" s="154">
        <v>4030</v>
      </c>
      <c r="B105" s="166" t="s">
        <v>163</v>
      </c>
      <c r="C105" s="139">
        <f>3500+1500+5500+3500+2600</f>
        <v>16600</v>
      </c>
      <c r="D105" s="136">
        <f t="shared" si="22"/>
        <v>16600</v>
      </c>
      <c r="E105" s="137"/>
      <c r="F105" s="142"/>
      <c r="G105" s="142"/>
      <c r="H105" s="139"/>
      <c r="I105" s="139"/>
      <c r="J105" s="139"/>
      <c r="K105" s="136">
        <f>SUM(L105:M105)</f>
        <v>0</v>
      </c>
      <c r="L105" s="139"/>
      <c r="M105" s="139"/>
      <c r="N105" s="139"/>
      <c r="O105" s="155">
        <f>C105</f>
        <v>16600</v>
      </c>
      <c r="P105" s="172"/>
      <c r="Q105" s="142"/>
      <c r="R105" s="142"/>
      <c r="S105" s="142"/>
      <c r="T105" s="175">
        <f>10500+3500+2600</f>
        <v>16600</v>
      </c>
      <c r="U105" s="139">
        <f t="shared" si="21"/>
        <v>0</v>
      </c>
    </row>
    <row r="106" spans="1:21" s="115" customFormat="1" ht="36.75" customHeight="1">
      <c r="A106" s="24">
        <v>5000</v>
      </c>
      <c r="B106" s="5" t="s">
        <v>36</v>
      </c>
      <c r="C106" s="37">
        <f>SUM(C107:C110)</f>
        <v>132012.53</v>
      </c>
      <c r="D106" s="37">
        <f aca="true" t="shared" si="24" ref="D106:U106">SUM(D107:D110)</f>
        <v>26775.44</v>
      </c>
      <c r="E106" s="37">
        <f t="shared" si="24"/>
        <v>20000</v>
      </c>
      <c r="F106" s="37">
        <f t="shared" si="24"/>
        <v>0</v>
      </c>
      <c r="G106" s="37">
        <f t="shared" si="24"/>
        <v>20000</v>
      </c>
      <c r="H106" s="37">
        <f t="shared" si="24"/>
        <v>0</v>
      </c>
      <c r="I106" s="37">
        <f t="shared" si="24"/>
        <v>0</v>
      </c>
      <c r="J106" s="37">
        <f t="shared" si="24"/>
        <v>0</v>
      </c>
      <c r="K106" s="37">
        <f t="shared" si="24"/>
        <v>0</v>
      </c>
      <c r="L106" s="37">
        <f t="shared" si="24"/>
        <v>0</v>
      </c>
      <c r="M106" s="37">
        <f t="shared" si="24"/>
        <v>0</v>
      </c>
      <c r="N106" s="37">
        <f t="shared" si="24"/>
        <v>0</v>
      </c>
      <c r="O106" s="37">
        <f t="shared" si="24"/>
        <v>6775.44</v>
      </c>
      <c r="P106" s="37">
        <f t="shared" si="24"/>
        <v>0</v>
      </c>
      <c r="Q106" s="37">
        <f t="shared" si="24"/>
        <v>0</v>
      </c>
      <c r="R106" s="37">
        <f t="shared" si="24"/>
        <v>0</v>
      </c>
      <c r="S106" s="37">
        <f t="shared" si="24"/>
        <v>0</v>
      </c>
      <c r="T106" s="37">
        <f t="shared" si="24"/>
        <v>0</v>
      </c>
      <c r="U106" s="37">
        <f t="shared" si="24"/>
        <v>0</v>
      </c>
    </row>
    <row r="107" spans="1:21" s="7" customFormat="1" ht="48" customHeight="1">
      <c r="A107" s="4">
        <v>5053</v>
      </c>
      <c r="B107" s="87" t="s">
        <v>37</v>
      </c>
      <c r="C107" s="109">
        <v>37508.7</v>
      </c>
      <c r="D107" s="66">
        <f aca="true" t="shared" si="25" ref="D107:D115">H107+I107+J107+O107+P107+S107+E107+K107+Q107+R107</f>
        <v>0</v>
      </c>
      <c r="E107" s="36">
        <f>SUM(F107:G107)</f>
        <v>0</v>
      </c>
      <c r="F107" s="36"/>
      <c r="G107" s="36"/>
      <c r="H107" s="36"/>
      <c r="I107" s="36"/>
      <c r="J107" s="36"/>
      <c r="K107" s="66">
        <f>SUM(L107:M107)</f>
        <v>0</v>
      </c>
      <c r="L107" s="36"/>
      <c r="M107" s="36"/>
      <c r="N107" s="36"/>
      <c r="O107" s="106"/>
      <c r="P107" s="36"/>
      <c r="Q107" s="36"/>
      <c r="R107" s="36"/>
      <c r="S107" s="36"/>
      <c r="T107" s="4"/>
      <c r="U107" s="83"/>
    </row>
    <row r="108" spans="1:21" s="7" customFormat="1" ht="52.5" customHeight="1">
      <c r="A108" s="4">
        <v>5053</v>
      </c>
      <c r="B108" s="87" t="s">
        <v>89</v>
      </c>
      <c r="C108" s="109">
        <f>4480+4998.5</f>
        <v>9478.5</v>
      </c>
      <c r="D108" s="66">
        <f t="shared" si="25"/>
        <v>0</v>
      </c>
      <c r="E108" s="36">
        <f>SUM(F108:G108)</f>
        <v>0</v>
      </c>
      <c r="F108" s="36"/>
      <c r="G108" s="36"/>
      <c r="H108" s="36"/>
      <c r="I108" s="36"/>
      <c r="J108" s="36"/>
      <c r="K108" s="66"/>
      <c r="L108" s="36"/>
      <c r="M108" s="36"/>
      <c r="N108" s="36"/>
      <c r="O108" s="106"/>
      <c r="P108" s="36"/>
      <c r="Q108" s="36"/>
      <c r="R108" s="36"/>
      <c r="S108" s="36"/>
      <c r="T108" s="4"/>
      <c r="U108" s="83"/>
    </row>
    <row r="109" spans="1:21" s="7" customFormat="1" ht="52.5" customHeight="1">
      <c r="A109" s="4">
        <v>5032</v>
      </c>
      <c r="B109" s="87" t="s">
        <v>144</v>
      </c>
      <c r="C109" s="109">
        <v>45025.33</v>
      </c>
      <c r="D109" s="66">
        <f t="shared" si="25"/>
        <v>6775.44</v>
      </c>
      <c r="E109" s="36">
        <f>SUM(F109:G109)</f>
        <v>0</v>
      </c>
      <c r="F109" s="36"/>
      <c r="G109" s="36"/>
      <c r="H109" s="36"/>
      <c r="I109" s="36"/>
      <c r="J109" s="36"/>
      <c r="K109" s="66"/>
      <c r="L109" s="36"/>
      <c r="M109" s="36"/>
      <c r="N109" s="36"/>
      <c r="O109" s="106">
        <v>6775.44</v>
      </c>
      <c r="P109" s="36"/>
      <c r="Q109" s="36"/>
      <c r="R109" s="36"/>
      <c r="S109" s="36"/>
      <c r="T109" s="4"/>
      <c r="U109" s="83"/>
    </row>
    <row r="110" spans="1:21" s="7" customFormat="1" ht="60" customHeight="1">
      <c r="A110" s="4">
        <v>5032</v>
      </c>
      <c r="B110" s="87" t="s">
        <v>90</v>
      </c>
      <c r="C110" s="109">
        <f>17000+3000+20000</f>
        <v>40000</v>
      </c>
      <c r="D110" s="66">
        <f t="shared" si="25"/>
        <v>20000</v>
      </c>
      <c r="E110" s="36">
        <f>SUM(F110:G110)</f>
        <v>20000</v>
      </c>
      <c r="F110" s="36"/>
      <c r="G110" s="36">
        <v>20000</v>
      </c>
      <c r="H110" s="36"/>
      <c r="I110" s="36"/>
      <c r="J110" s="36"/>
      <c r="K110" s="66"/>
      <c r="L110" s="36"/>
      <c r="M110" s="36"/>
      <c r="N110" s="36"/>
      <c r="O110" s="106"/>
      <c r="P110" s="36"/>
      <c r="Q110" s="36"/>
      <c r="R110" s="36"/>
      <c r="S110" s="36"/>
      <c r="T110" s="4"/>
      <c r="U110" s="83"/>
    </row>
    <row r="111" spans="1:21" s="7" customFormat="1" ht="88.5" customHeight="1">
      <c r="A111" s="4">
        <v>6030</v>
      </c>
      <c r="B111" s="87" t="s">
        <v>153</v>
      </c>
      <c r="C111" s="109">
        <f>8000+6000</f>
        <v>14000</v>
      </c>
      <c r="D111" s="66">
        <f t="shared" si="25"/>
        <v>14000</v>
      </c>
      <c r="E111" s="36"/>
      <c r="F111" s="36"/>
      <c r="G111" s="36"/>
      <c r="H111" s="36"/>
      <c r="I111" s="36"/>
      <c r="J111" s="36"/>
      <c r="K111" s="66"/>
      <c r="L111" s="36"/>
      <c r="M111" s="36"/>
      <c r="N111" s="36"/>
      <c r="O111" s="106">
        <f>8000+6000</f>
        <v>14000</v>
      </c>
      <c r="P111" s="36"/>
      <c r="Q111" s="36"/>
      <c r="R111" s="36"/>
      <c r="S111" s="36"/>
      <c r="T111" s="4"/>
      <c r="U111" s="83">
        <f aca="true" t="shared" si="26" ref="U111:U121">C111-D111</f>
        <v>0</v>
      </c>
    </row>
    <row r="112" spans="1:21" s="182" customFormat="1" ht="175.5" customHeight="1">
      <c r="A112" s="133">
        <v>6030</v>
      </c>
      <c r="B112" s="208" t="s">
        <v>140</v>
      </c>
      <c r="C112" s="150">
        <f>10800+3500+8000+8000+3000+2000+2000+2000+6000+6000+1500</f>
        <v>52800</v>
      </c>
      <c r="D112" s="136">
        <f t="shared" si="25"/>
        <v>52800</v>
      </c>
      <c r="E112" s="137"/>
      <c r="F112" s="137"/>
      <c r="G112" s="137"/>
      <c r="H112" s="137"/>
      <c r="I112" s="137"/>
      <c r="J112" s="137"/>
      <c r="K112" s="136"/>
      <c r="L112" s="137"/>
      <c r="M112" s="137"/>
      <c r="N112" s="137"/>
      <c r="O112" s="198">
        <f>43300+1500</f>
        <v>44800</v>
      </c>
      <c r="P112" s="137">
        <v>8000</v>
      </c>
      <c r="Q112" s="137"/>
      <c r="R112" s="137"/>
      <c r="S112" s="137"/>
      <c r="T112" s="133">
        <v>52800</v>
      </c>
      <c r="U112" s="139">
        <f t="shared" si="26"/>
        <v>0</v>
      </c>
    </row>
    <row r="113" spans="1:21" s="182" customFormat="1" ht="222" customHeight="1">
      <c r="A113" s="133">
        <v>6030</v>
      </c>
      <c r="B113" s="197" t="s">
        <v>125</v>
      </c>
      <c r="C113" s="171">
        <f>7500+1000+500+6000+8000+3000+3000+3000+4800+6000+5000</f>
        <v>47800</v>
      </c>
      <c r="D113" s="136">
        <f t="shared" si="25"/>
        <v>47800</v>
      </c>
      <c r="E113" s="137"/>
      <c r="F113" s="137"/>
      <c r="G113" s="137"/>
      <c r="H113" s="137"/>
      <c r="I113" s="137"/>
      <c r="J113" s="137"/>
      <c r="K113" s="136"/>
      <c r="L113" s="137"/>
      <c r="M113" s="137"/>
      <c r="N113" s="137"/>
      <c r="O113" s="198">
        <f>1000+500+8000+3000+3000+3000+6000+4800+5000</f>
        <v>34300</v>
      </c>
      <c r="P113" s="137">
        <f>7500+6000</f>
        <v>13500</v>
      </c>
      <c r="Q113" s="137"/>
      <c r="R113" s="137"/>
      <c r="S113" s="137"/>
      <c r="T113" s="133">
        <f>42800+5000</f>
        <v>47800</v>
      </c>
      <c r="U113" s="136">
        <f t="shared" si="26"/>
        <v>0</v>
      </c>
    </row>
    <row r="114" spans="1:21" s="152" customFormat="1" ht="51.75" customHeight="1">
      <c r="A114" s="148">
        <v>9150</v>
      </c>
      <c r="B114" s="149" t="s">
        <v>49</v>
      </c>
      <c r="C114" s="150">
        <v>1040000</v>
      </c>
      <c r="D114" s="136">
        <f t="shared" si="25"/>
        <v>1040000</v>
      </c>
      <c r="E114" s="150"/>
      <c r="F114" s="150"/>
      <c r="G114" s="150"/>
      <c r="H114" s="150"/>
      <c r="I114" s="150">
        <f>SUM(I115:I115)</f>
        <v>0</v>
      </c>
      <c r="J114" s="150">
        <f>SUM(J115:J115)</f>
        <v>0</v>
      </c>
      <c r="K114" s="150"/>
      <c r="L114" s="150"/>
      <c r="M114" s="150"/>
      <c r="N114" s="150"/>
      <c r="O114" s="150"/>
      <c r="P114" s="150"/>
      <c r="Q114" s="150"/>
      <c r="R114" s="150"/>
      <c r="S114" s="151">
        <v>1040000</v>
      </c>
      <c r="T114" s="151">
        <v>1040000</v>
      </c>
      <c r="U114" s="139">
        <f t="shared" si="26"/>
        <v>0</v>
      </c>
    </row>
    <row r="115" spans="1:21" s="152" customFormat="1" ht="51.75" customHeight="1">
      <c r="A115" s="148">
        <v>9270</v>
      </c>
      <c r="B115" s="149" t="s">
        <v>60</v>
      </c>
      <c r="C115" s="171">
        <v>317246</v>
      </c>
      <c r="D115" s="136">
        <f t="shared" si="25"/>
        <v>317246</v>
      </c>
      <c r="E115" s="137"/>
      <c r="F115" s="136"/>
      <c r="G115" s="136"/>
      <c r="H115" s="136"/>
      <c r="I115" s="136"/>
      <c r="J115" s="136"/>
      <c r="K115" s="136"/>
      <c r="L115" s="136"/>
      <c r="M115" s="136"/>
      <c r="N115" s="136"/>
      <c r="O115" s="162"/>
      <c r="P115" s="136"/>
      <c r="Q115" s="136"/>
      <c r="R115" s="136"/>
      <c r="S115" s="161">
        <v>317246</v>
      </c>
      <c r="T115" s="160"/>
      <c r="U115" s="136">
        <f t="shared" si="26"/>
        <v>0</v>
      </c>
    </row>
    <row r="116" spans="1:21" s="94" customFormat="1" ht="75.75" customHeight="1">
      <c r="A116" s="84">
        <v>9770</v>
      </c>
      <c r="B116" s="128" t="s">
        <v>149</v>
      </c>
      <c r="C116" s="68">
        <v>36583.26</v>
      </c>
      <c r="D116" s="66">
        <f aca="true" t="shared" si="27" ref="D116:D121">H116+I116+J116+O116+P116+S116+M116+E116</f>
        <v>26000</v>
      </c>
      <c r="E116" s="36">
        <f>SUM(F116:G116)</f>
        <v>26000</v>
      </c>
      <c r="F116" s="66"/>
      <c r="G116" s="66">
        <v>26000</v>
      </c>
      <c r="H116" s="66"/>
      <c r="I116" s="66"/>
      <c r="J116" s="66"/>
      <c r="K116" s="66"/>
      <c r="L116" s="66"/>
      <c r="M116" s="66"/>
      <c r="N116" s="66"/>
      <c r="O116" s="105"/>
      <c r="P116" s="66"/>
      <c r="Q116" s="66"/>
      <c r="R116" s="66"/>
      <c r="S116" s="72"/>
      <c r="T116" s="70"/>
      <c r="U116" s="66">
        <f t="shared" si="26"/>
        <v>10583.260000000002</v>
      </c>
    </row>
    <row r="117" spans="1:21" s="94" customFormat="1" ht="48.75" customHeight="1">
      <c r="A117" s="84">
        <v>9770</v>
      </c>
      <c r="B117" s="128" t="s">
        <v>161</v>
      </c>
      <c r="C117" s="68">
        <v>60000</v>
      </c>
      <c r="D117" s="66">
        <f t="shared" si="27"/>
        <v>60000</v>
      </c>
      <c r="E117" s="36"/>
      <c r="F117" s="66"/>
      <c r="G117" s="66"/>
      <c r="H117" s="66">
        <v>60000</v>
      </c>
      <c r="I117" s="66"/>
      <c r="J117" s="66"/>
      <c r="K117" s="66"/>
      <c r="L117" s="66"/>
      <c r="M117" s="66"/>
      <c r="N117" s="66"/>
      <c r="O117" s="105"/>
      <c r="P117" s="66"/>
      <c r="Q117" s="66"/>
      <c r="R117" s="66"/>
      <c r="S117" s="72"/>
      <c r="T117" s="70"/>
      <c r="U117" s="66">
        <f t="shared" si="26"/>
        <v>0</v>
      </c>
    </row>
    <row r="118" spans="1:21" s="112" customFormat="1" ht="50.25" customHeight="1">
      <c r="A118" s="199" t="s">
        <v>119</v>
      </c>
      <c r="B118" s="128" t="s">
        <v>88</v>
      </c>
      <c r="C118" s="68">
        <v>5000</v>
      </c>
      <c r="D118" s="66">
        <f t="shared" si="27"/>
        <v>0</v>
      </c>
      <c r="E118" s="36">
        <f>SUM(F118:G118)</f>
        <v>0</v>
      </c>
      <c r="F118" s="66"/>
      <c r="G118" s="66"/>
      <c r="H118" s="66"/>
      <c r="I118" s="66"/>
      <c r="J118" s="66"/>
      <c r="K118" s="66"/>
      <c r="L118" s="66"/>
      <c r="M118" s="66"/>
      <c r="N118" s="66"/>
      <c r="O118" s="105"/>
      <c r="P118" s="66"/>
      <c r="Q118" s="66"/>
      <c r="R118" s="66"/>
      <c r="S118" s="66"/>
      <c r="T118" s="70"/>
      <c r="U118" s="66">
        <f t="shared" si="26"/>
        <v>5000</v>
      </c>
    </row>
    <row r="119" spans="1:21" s="112" customFormat="1" ht="89.25" customHeight="1">
      <c r="A119" s="199" t="s">
        <v>119</v>
      </c>
      <c r="B119" s="213" t="s">
        <v>147</v>
      </c>
      <c r="C119" s="68">
        <v>30000</v>
      </c>
      <c r="D119" s="66">
        <f t="shared" si="27"/>
        <v>30000</v>
      </c>
      <c r="E119" s="36">
        <f>SUM(F119:G119)</f>
        <v>30000</v>
      </c>
      <c r="F119" s="66"/>
      <c r="G119" s="66">
        <v>30000</v>
      </c>
      <c r="H119" s="66"/>
      <c r="I119" s="66"/>
      <c r="J119" s="66"/>
      <c r="K119" s="66"/>
      <c r="L119" s="66"/>
      <c r="M119" s="66"/>
      <c r="N119" s="66"/>
      <c r="O119" s="105"/>
      <c r="P119" s="66"/>
      <c r="Q119" s="66"/>
      <c r="R119" s="66"/>
      <c r="S119" s="66"/>
      <c r="T119" s="70"/>
      <c r="U119" s="66">
        <f t="shared" si="26"/>
        <v>0</v>
      </c>
    </row>
    <row r="120" spans="1:21" s="112" customFormat="1" ht="24.75" customHeight="1">
      <c r="A120" s="199" t="s">
        <v>137</v>
      </c>
      <c r="B120" s="128" t="s">
        <v>138</v>
      </c>
      <c r="C120" s="68">
        <v>1559200</v>
      </c>
      <c r="D120" s="66">
        <f t="shared" si="27"/>
        <v>0</v>
      </c>
      <c r="E120" s="36">
        <f>SUM(F120:G120)</f>
        <v>0</v>
      </c>
      <c r="F120" s="66"/>
      <c r="G120" s="66"/>
      <c r="H120" s="66"/>
      <c r="I120" s="66"/>
      <c r="J120" s="66"/>
      <c r="K120" s="66"/>
      <c r="L120" s="66"/>
      <c r="M120" s="66"/>
      <c r="N120" s="66"/>
      <c r="O120" s="105"/>
      <c r="P120" s="66"/>
      <c r="Q120" s="66"/>
      <c r="R120" s="66"/>
      <c r="S120" s="66"/>
      <c r="T120" s="70"/>
      <c r="U120" s="66"/>
    </row>
    <row r="121" spans="1:21" s="110" customFormat="1" ht="50.25" customHeight="1">
      <c r="A121" s="84">
        <v>9150</v>
      </c>
      <c r="B121" s="128" t="s">
        <v>164</v>
      </c>
      <c r="C121" s="68">
        <v>100000</v>
      </c>
      <c r="D121" s="36">
        <f t="shared" si="27"/>
        <v>100000</v>
      </c>
      <c r="E121" s="36">
        <f>SUM(F121:G121)</f>
        <v>100000</v>
      </c>
      <c r="F121" s="66">
        <v>100000</v>
      </c>
      <c r="G121" s="66"/>
      <c r="H121" s="66"/>
      <c r="I121" s="66"/>
      <c r="J121" s="66"/>
      <c r="K121" s="72"/>
      <c r="L121" s="66"/>
      <c r="M121" s="66"/>
      <c r="N121" s="66"/>
      <c r="O121" s="105"/>
      <c r="P121" s="66"/>
      <c r="Q121" s="66"/>
      <c r="R121" s="66"/>
      <c r="S121" s="66"/>
      <c r="T121" s="70"/>
      <c r="U121" s="66">
        <f t="shared" si="26"/>
        <v>0</v>
      </c>
    </row>
    <row r="122" spans="1:21" s="54" customFormat="1" ht="28.5" customHeight="1">
      <c r="A122" s="55"/>
      <c r="B122" s="58" t="s">
        <v>5</v>
      </c>
      <c r="C122" s="33">
        <f aca="true" t="shared" si="28" ref="C122:U122">C13+C24+C57+C84+C98+C121+C106+C118+C114+C83+C115+C113+C112+C116+C120+C119+C111+C117</f>
        <v>22435069.430000003</v>
      </c>
      <c r="D122" s="33">
        <f t="shared" si="28"/>
        <v>12158533.229999999</v>
      </c>
      <c r="E122" s="99">
        <f t="shared" si="28"/>
        <v>3272900</v>
      </c>
      <c r="F122" s="33">
        <f t="shared" si="28"/>
        <v>3029400</v>
      </c>
      <c r="G122" s="33">
        <f t="shared" si="28"/>
        <v>243500</v>
      </c>
      <c r="H122" s="33">
        <f t="shared" si="28"/>
        <v>87660</v>
      </c>
      <c r="I122" s="33">
        <f t="shared" si="28"/>
        <v>0</v>
      </c>
      <c r="J122" s="33">
        <f t="shared" si="28"/>
        <v>0</v>
      </c>
      <c r="K122" s="33">
        <f t="shared" si="28"/>
        <v>460059.61</v>
      </c>
      <c r="L122" s="33">
        <f t="shared" si="28"/>
        <v>460059.61</v>
      </c>
      <c r="M122" s="33">
        <f t="shared" si="28"/>
        <v>0</v>
      </c>
      <c r="N122" s="122">
        <f t="shared" si="28"/>
        <v>2208000</v>
      </c>
      <c r="O122" s="122">
        <f t="shared" si="28"/>
        <v>1786245.0499999998</v>
      </c>
      <c r="P122" s="33">
        <f t="shared" si="28"/>
        <v>1520867.57</v>
      </c>
      <c r="Q122" s="122">
        <f t="shared" si="28"/>
        <v>2744900</v>
      </c>
      <c r="R122" s="33">
        <f t="shared" si="28"/>
        <v>-4700</v>
      </c>
      <c r="S122" s="33">
        <f t="shared" si="28"/>
        <v>82601</v>
      </c>
      <c r="T122" s="122">
        <f t="shared" si="28"/>
        <v>9061537.12</v>
      </c>
      <c r="U122" s="33">
        <f t="shared" si="28"/>
        <v>7874680.55</v>
      </c>
    </row>
    <row r="123" spans="1:21" s="8" customFormat="1" ht="27.75" customHeight="1">
      <c r="A123" s="227" t="s">
        <v>7</v>
      </c>
      <c r="B123" s="228"/>
      <c r="C123" s="228"/>
      <c r="D123" s="228"/>
      <c r="E123" s="228"/>
      <c r="F123" s="228"/>
      <c r="G123" s="228"/>
      <c r="H123" s="228"/>
      <c r="I123" s="228"/>
      <c r="J123" s="228"/>
      <c r="K123" s="228"/>
      <c r="L123" s="228"/>
      <c r="M123" s="228"/>
      <c r="N123" s="228"/>
      <c r="O123" s="228"/>
      <c r="P123" s="228"/>
      <c r="Q123" s="228"/>
      <c r="R123" s="228"/>
      <c r="S123" s="228"/>
      <c r="T123" s="228"/>
      <c r="U123" s="229"/>
    </row>
    <row r="124" spans="1:21" s="46" customFormat="1" ht="24.75" customHeight="1">
      <c r="A124" s="205" t="s">
        <v>135</v>
      </c>
      <c r="B124" s="25" t="s">
        <v>0</v>
      </c>
      <c r="C124" s="33">
        <f>SUM(C125:C125)</f>
        <v>-28360</v>
      </c>
      <c r="D124" s="33">
        <f>SUM(D125:D125)</f>
        <v>-28360</v>
      </c>
      <c r="E124" s="33"/>
      <c r="F124" s="33"/>
      <c r="G124" s="33"/>
      <c r="H124" s="33">
        <f>SUM(H125:H125)</f>
        <v>-28360</v>
      </c>
      <c r="I124" s="33">
        <f>SUM(I125:I125)</f>
        <v>0</v>
      </c>
      <c r="J124" s="33">
        <f>SUM(J125:J125)</f>
        <v>0</v>
      </c>
      <c r="K124" s="33"/>
      <c r="L124" s="33"/>
      <c r="M124" s="33"/>
      <c r="N124" s="33"/>
      <c r="O124" s="119">
        <f>SUM(O125:O125)</f>
        <v>0</v>
      </c>
      <c r="P124" s="33">
        <f>SUM(P125:P125)</f>
        <v>0</v>
      </c>
      <c r="Q124" s="33"/>
      <c r="R124" s="33"/>
      <c r="S124" s="33">
        <f>SUM(S125:S125)</f>
        <v>0</v>
      </c>
      <c r="T124" s="33"/>
      <c r="U124" s="33">
        <f>SUM(U125:U125)</f>
        <v>0</v>
      </c>
    </row>
    <row r="125" spans="1:21" s="1" customFormat="1" ht="23.25" customHeight="1">
      <c r="A125" s="188" t="s">
        <v>119</v>
      </c>
      <c r="B125" s="85" t="s">
        <v>106</v>
      </c>
      <c r="C125" s="36">
        <v>-28360</v>
      </c>
      <c r="D125" s="36">
        <f>H125+I125+J125+O125+P125+S125</f>
        <v>-28360</v>
      </c>
      <c r="E125" s="36"/>
      <c r="F125" s="36"/>
      <c r="G125" s="36"/>
      <c r="H125" s="36">
        <v>-28360</v>
      </c>
      <c r="I125" s="36"/>
      <c r="J125" s="36"/>
      <c r="K125" s="36"/>
      <c r="L125" s="36"/>
      <c r="M125" s="36"/>
      <c r="N125" s="36"/>
      <c r="O125" s="106"/>
      <c r="P125" s="36"/>
      <c r="Q125" s="36"/>
      <c r="R125" s="36"/>
      <c r="S125" s="36"/>
      <c r="T125" s="36"/>
      <c r="U125" s="34">
        <f>C125-H125-I125-J125-O125-P125-S125</f>
        <v>0</v>
      </c>
    </row>
    <row r="126" spans="1:21" s="1" customFormat="1" ht="26.25" customHeight="1">
      <c r="A126" s="24">
        <v>1000</v>
      </c>
      <c r="B126" s="26" t="s">
        <v>1</v>
      </c>
      <c r="C126" s="33">
        <f>SUM(C127:C139)</f>
        <v>579812</v>
      </c>
      <c r="D126" s="33">
        <f aca="true" t="shared" si="29" ref="D126:U126">SUM(D127:D139)</f>
        <v>579812</v>
      </c>
      <c r="E126" s="33">
        <f t="shared" si="29"/>
        <v>0</v>
      </c>
      <c r="F126" s="33">
        <f t="shared" si="29"/>
        <v>0</v>
      </c>
      <c r="G126" s="33">
        <f t="shared" si="29"/>
        <v>0</v>
      </c>
      <c r="H126" s="33">
        <f t="shared" si="29"/>
        <v>700</v>
      </c>
      <c r="I126" s="33">
        <f t="shared" si="29"/>
        <v>0</v>
      </c>
      <c r="J126" s="33">
        <f t="shared" si="29"/>
        <v>0</v>
      </c>
      <c r="K126" s="33">
        <f t="shared" si="29"/>
        <v>0</v>
      </c>
      <c r="L126" s="33">
        <f t="shared" si="29"/>
        <v>0</v>
      </c>
      <c r="M126" s="33">
        <f t="shared" si="29"/>
        <v>0</v>
      </c>
      <c r="N126" s="33">
        <f t="shared" si="29"/>
        <v>0</v>
      </c>
      <c r="O126" s="33">
        <f t="shared" si="29"/>
        <v>294858</v>
      </c>
      <c r="P126" s="33">
        <f t="shared" si="29"/>
        <v>5400</v>
      </c>
      <c r="Q126" s="33">
        <f t="shared" si="29"/>
        <v>0</v>
      </c>
      <c r="R126" s="33">
        <f t="shared" si="29"/>
        <v>0</v>
      </c>
      <c r="S126" s="122">
        <f t="shared" si="29"/>
        <v>278854</v>
      </c>
      <c r="T126" s="33">
        <f t="shared" si="29"/>
        <v>504112</v>
      </c>
      <c r="U126" s="33">
        <f t="shared" si="29"/>
        <v>0</v>
      </c>
    </row>
    <row r="127" spans="1:21" s="164" customFormat="1" ht="57.75" customHeight="1">
      <c r="A127" s="148">
        <v>1020</v>
      </c>
      <c r="B127" s="209" t="s">
        <v>126</v>
      </c>
      <c r="C127" s="137">
        <v>75000</v>
      </c>
      <c r="D127" s="136">
        <f aca="true" t="shared" si="30" ref="D127:D136">H127+I127+J127+O127+P127+S127+E127+K127+Q127</f>
        <v>75000</v>
      </c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>
        <v>75000</v>
      </c>
      <c r="P127" s="137"/>
      <c r="Q127" s="137"/>
      <c r="R127" s="137"/>
      <c r="S127" s="210"/>
      <c r="T127" s="206"/>
      <c r="U127" s="139">
        <f aca="true" t="shared" si="31" ref="U127:U139">C127-D127</f>
        <v>0</v>
      </c>
    </row>
    <row r="128" spans="1:21" s="164" customFormat="1" ht="26.25" customHeight="1">
      <c r="A128" s="148">
        <v>1020</v>
      </c>
      <c r="B128" s="209" t="s">
        <v>134</v>
      </c>
      <c r="C128" s="137">
        <v>-359100</v>
      </c>
      <c r="D128" s="136">
        <f t="shared" si="30"/>
        <v>-359100</v>
      </c>
      <c r="E128" s="137"/>
      <c r="F128" s="137"/>
      <c r="G128" s="137"/>
      <c r="H128" s="210">
        <v>-359100</v>
      </c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210"/>
      <c r="T128" s="206"/>
      <c r="U128" s="139">
        <f t="shared" si="31"/>
        <v>0</v>
      </c>
    </row>
    <row r="129" spans="1:21" s="164" customFormat="1" ht="26.25" customHeight="1">
      <c r="A129" s="148">
        <v>1020</v>
      </c>
      <c r="B129" s="209" t="s">
        <v>133</v>
      </c>
      <c r="C129" s="137">
        <v>359100</v>
      </c>
      <c r="D129" s="136">
        <f t="shared" si="30"/>
        <v>359100</v>
      </c>
      <c r="E129" s="137"/>
      <c r="F129" s="137"/>
      <c r="G129" s="137"/>
      <c r="H129" s="210">
        <v>359100</v>
      </c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210"/>
      <c r="T129" s="206"/>
      <c r="U129" s="139">
        <f t="shared" si="31"/>
        <v>0</v>
      </c>
    </row>
    <row r="130" spans="1:21" s="164" customFormat="1" ht="53.25" customHeight="1">
      <c r="A130" s="148">
        <v>1020</v>
      </c>
      <c r="B130" s="209" t="s">
        <v>143</v>
      </c>
      <c r="C130" s="137">
        <v>186530</v>
      </c>
      <c r="D130" s="136">
        <f t="shared" si="30"/>
        <v>186530</v>
      </c>
      <c r="E130" s="137"/>
      <c r="F130" s="137"/>
      <c r="G130" s="137"/>
      <c r="H130" s="210"/>
      <c r="I130" s="137"/>
      <c r="J130" s="137"/>
      <c r="K130" s="137"/>
      <c r="L130" s="137"/>
      <c r="M130" s="137"/>
      <c r="N130" s="137"/>
      <c r="O130" s="137">
        <v>186530</v>
      </c>
      <c r="P130" s="137"/>
      <c r="Q130" s="137"/>
      <c r="R130" s="137"/>
      <c r="S130" s="210"/>
      <c r="T130" s="206">
        <v>186530</v>
      </c>
      <c r="U130" s="139">
        <f t="shared" si="31"/>
        <v>0</v>
      </c>
    </row>
    <row r="131" spans="1:21" s="164" customFormat="1" ht="72" customHeight="1">
      <c r="A131" s="133">
        <v>1020</v>
      </c>
      <c r="B131" s="158" t="s">
        <v>103</v>
      </c>
      <c r="C131" s="136">
        <v>167674</v>
      </c>
      <c r="D131" s="136">
        <f t="shared" si="30"/>
        <v>167674</v>
      </c>
      <c r="E131" s="137">
        <f>SUM(F131:G131)</f>
        <v>0</v>
      </c>
      <c r="F131" s="137"/>
      <c r="G131" s="137"/>
      <c r="H131" s="161"/>
      <c r="I131" s="136"/>
      <c r="J131" s="136"/>
      <c r="K131" s="136">
        <f>SUM(L131:M131)</f>
        <v>0</v>
      </c>
      <c r="L131" s="136"/>
      <c r="M131" s="136"/>
      <c r="N131" s="136"/>
      <c r="O131" s="162"/>
      <c r="P131" s="136"/>
      <c r="Q131" s="136"/>
      <c r="R131" s="136"/>
      <c r="S131" s="161">
        <v>167674</v>
      </c>
      <c r="T131" s="163">
        <v>167674</v>
      </c>
      <c r="U131" s="139">
        <f t="shared" si="31"/>
        <v>0</v>
      </c>
    </row>
    <row r="132" spans="1:21" s="164" customFormat="1" ht="72" customHeight="1">
      <c r="A132" s="133">
        <v>1020</v>
      </c>
      <c r="B132" s="158" t="s">
        <v>98</v>
      </c>
      <c r="C132" s="136">
        <v>111180</v>
      </c>
      <c r="D132" s="136">
        <f t="shared" si="30"/>
        <v>111180</v>
      </c>
      <c r="E132" s="137">
        <f>SUM(F132:G132)</f>
        <v>0</v>
      </c>
      <c r="F132" s="137"/>
      <c r="G132" s="137"/>
      <c r="H132" s="161"/>
      <c r="I132" s="136"/>
      <c r="J132" s="136"/>
      <c r="K132" s="136">
        <f>SUM(L132:M132)</f>
        <v>0</v>
      </c>
      <c r="L132" s="136"/>
      <c r="M132" s="136"/>
      <c r="N132" s="136"/>
      <c r="O132" s="162"/>
      <c r="P132" s="136"/>
      <c r="Q132" s="136"/>
      <c r="R132" s="136"/>
      <c r="S132" s="161">
        <v>111180</v>
      </c>
      <c r="T132" s="163">
        <v>111180</v>
      </c>
      <c r="U132" s="139">
        <f t="shared" si="31"/>
        <v>0</v>
      </c>
    </row>
    <row r="133" spans="1:21" s="157" customFormat="1" ht="138.75" customHeight="1">
      <c r="A133" s="148">
        <v>1020</v>
      </c>
      <c r="B133" s="158" t="s">
        <v>54</v>
      </c>
      <c r="C133" s="136">
        <f>5540</f>
        <v>5540</v>
      </c>
      <c r="D133" s="136">
        <f t="shared" si="30"/>
        <v>5540</v>
      </c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55">
        <f>5540</f>
        <v>5540</v>
      </c>
      <c r="P133" s="136"/>
      <c r="Q133" s="159"/>
      <c r="R133" s="159"/>
      <c r="S133" s="159"/>
      <c r="T133" s="160">
        <f>5540</f>
        <v>5540</v>
      </c>
      <c r="U133" s="139">
        <f t="shared" si="31"/>
        <v>0</v>
      </c>
    </row>
    <row r="134" spans="1:21" s="164" customFormat="1" ht="124.5" customHeight="1">
      <c r="A134" s="133">
        <v>1020</v>
      </c>
      <c r="B134" s="158" t="s">
        <v>55</v>
      </c>
      <c r="C134" s="136">
        <v>6596</v>
      </c>
      <c r="D134" s="136">
        <f t="shared" si="30"/>
        <v>6596</v>
      </c>
      <c r="E134" s="137">
        <f>SUM(F134:G134)</f>
        <v>0</v>
      </c>
      <c r="F134" s="137"/>
      <c r="G134" s="137"/>
      <c r="H134" s="161"/>
      <c r="I134" s="136"/>
      <c r="J134" s="136"/>
      <c r="K134" s="136">
        <f>SUM(L134:M134)</f>
        <v>0</v>
      </c>
      <c r="L134" s="136"/>
      <c r="M134" s="136"/>
      <c r="N134" s="136"/>
      <c r="O134" s="162">
        <v>6596</v>
      </c>
      <c r="P134" s="136"/>
      <c r="Q134" s="136"/>
      <c r="R134" s="136"/>
      <c r="S134" s="136"/>
      <c r="T134" s="163">
        <v>6596</v>
      </c>
      <c r="U134" s="139">
        <f t="shared" si="31"/>
        <v>0</v>
      </c>
    </row>
    <row r="135" spans="1:21" s="164" customFormat="1" ht="124.5" customHeight="1">
      <c r="A135" s="148">
        <v>1020</v>
      </c>
      <c r="B135" s="158" t="s">
        <v>107</v>
      </c>
      <c r="C135" s="136">
        <v>6596</v>
      </c>
      <c r="D135" s="136">
        <f t="shared" si="30"/>
        <v>6596</v>
      </c>
      <c r="E135" s="137">
        <f>SUM(F135:G135)</f>
        <v>0</v>
      </c>
      <c r="F135" s="137"/>
      <c r="G135" s="137"/>
      <c r="H135" s="161"/>
      <c r="I135" s="136"/>
      <c r="J135" s="136"/>
      <c r="K135" s="136"/>
      <c r="L135" s="136"/>
      <c r="M135" s="136"/>
      <c r="N135" s="136"/>
      <c r="O135" s="162">
        <v>6596</v>
      </c>
      <c r="P135" s="136"/>
      <c r="Q135" s="136"/>
      <c r="R135" s="136"/>
      <c r="S135" s="136"/>
      <c r="T135" s="163">
        <v>6596</v>
      </c>
      <c r="U135" s="139">
        <f>C135-D135</f>
        <v>0</v>
      </c>
    </row>
    <row r="136" spans="1:21" s="164" customFormat="1" ht="124.5" customHeight="1">
      <c r="A136" s="148">
        <v>1020</v>
      </c>
      <c r="B136" s="158" t="s">
        <v>108</v>
      </c>
      <c r="C136" s="136">
        <v>6596</v>
      </c>
      <c r="D136" s="136">
        <f t="shared" si="30"/>
        <v>6596</v>
      </c>
      <c r="E136" s="137">
        <f>SUM(F136:G136)</f>
        <v>0</v>
      </c>
      <c r="F136" s="137"/>
      <c r="G136" s="137"/>
      <c r="H136" s="161"/>
      <c r="I136" s="136"/>
      <c r="J136" s="136"/>
      <c r="K136" s="136"/>
      <c r="L136" s="136"/>
      <c r="M136" s="136"/>
      <c r="N136" s="136"/>
      <c r="O136" s="162">
        <v>6596</v>
      </c>
      <c r="P136" s="136"/>
      <c r="Q136" s="136"/>
      <c r="R136" s="136"/>
      <c r="S136" s="136"/>
      <c r="T136" s="163">
        <v>6596</v>
      </c>
      <c r="U136" s="139">
        <f>C136-D136</f>
        <v>0</v>
      </c>
    </row>
    <row r="137" spans="1:21" s="164" customFormat="1" ht="142.5" customHeight="1">
      <c r="A137" s="148">
        <v>1020</v>
      </c>
      <c r="B137" s="158" t="s">
        <v>109</v>
      </c>
      <c r="C137" s="136">
        <v>5400</v>
      </c>
      <c r="D137" s="136">
        <f>H137+I137+J137+O137+P137+S137+E137+K137+Q137</f>
        <v>5400</v>
      </c>
      <c r="E137" s="137"/>
      <c r="F137" s="137"/>
      <c r="G137" s="137"/>
      <c r="H137" s="161"/>
      <c r="I137" s="136"/>
      <c r="J137" s="136"/>
      <c r="K137" s="136"/>
      <c r="L137" s="136"/>
      <c r="M137" s="136"/>
      <c r="N137" s="136"/>
      <c r="O137" s="162"/>
      <c r="P137" s="136">
        <v>5400</v>
      </c>
      <c r="Q137" s="136"/>
      <c r="R137" s="136"/>
      <c r="S137" s="136"/>
      <c r="T137" s="163">
        <v>5400</v>
      </c>
      <c r="U137" s="139">
        <f t="shared" si="31"/>
        <v>0</v>
      </c>
    </row>
    <row r="138" spans="1:21" s="164" customFormat="1" ht="52.5" customHeight="1">
      <c r="A138" s="148">
        <v>7363</v>
      </c>
      <c r="B138" s="158" t="s">
        <v>130</v>
      </c>
      <c r="C138" s="136">
        <v>700</v>
      </c>
      <c r="D138" s="136">
        <f>H138+I138+J138+O138+P138+S138+E138+K138+Q138</f>
        <v>700</v>
      </c>
      <c r="E138" s="137"/>
      <c r="F138" s="137"/>
      <c r="G138" s="137"/>
      <c r="H138" s="161">
        <v>700</v>
      </c>
      <c r="I138" s="136"/>
      <c r="J138" s="136"/>
      <c r="K138" s="136"/>
      <c r="L138" s="136"/>
      <c r="M138" s="136"/>
      <c r="N138" s="136"/>
      <c r="O138" s="162"/>
      <c r="P138" s="136"/>
      <c r="Q138" s="136"/>
      <c r="R138" s="136"/>
      <c r="S138" s="136"/>
      <c r="T138" s="163"/>
      <c r="U138" s="139">
        <f t="shared" si="31"/>
        <v>0</v>
      </c>
    </row>
    <row r="139" spans="1:21" s="164" customFormat="1" ht="135">
      <c r="A139" s="133">
        <v>7321</v>
      </c>
      <c r="B139" s="174" t="s">
        <v>56</v>
      </c>
      <c r="C139" s="136">
        <v>8000</v>
      </c>
      <c r="D139" s="136">
        <f>H139+I139+J139+O139+P139+S139+E139+K139+Q139</f>
        <v>8000</v>
      </c>
      <c r="E139" s="137"/>
      <c r="F139" s="137"/>
      <c r="G139" s="137"/>
      <c r="H139" s="161"/>
      <c r="I139" s="136"/>
      <c r="J139" s="136"/>
      <c r="K139" s="136"/>
      <c r="L139" s="136"/>
      <c r="M139" s="136"/>
      <c r="N139" s="136"/>
      <c r="O139" s="162">
        <v>8000</v>
      </c>
      <c r="P139" s="136"/>
      <c r="Q139" s="136"/>
      <c r="R139" s="136"/>
      <c r="S139" s="136"/>
      <c r="T139" s="156">
        <f>C139</f>
        <v>8000</v>
      </c>
      <c r="U139" s="139">
        <f t="shared" si="31"/>
        <v>0</v>
      </c>
    </row>
    <row r="140" spans="1:21" s="51" customFormat="1" ht="24" customHeight="1">
      <c r="A140" s="25">
        <v>20000</v>
      </c>
      <c r="B140" s="26" t="s">
        <v>2</v>
      </c>
      <c r="C140" s="37">
        <f aca="true" t="shared" si="32" ref="C140:M140">C141+C146</f>
        <v>374781</v>
      </c>
      <c r="D140" s="37">
        <f t="shared" si="32"/>
        <v>374781</v>
      </c>
      <c r="E140" s="37">
        <f t="shared" si="32"/>
        <v>93100</v>
      </c>
      <c r="F140" s="37">
        <f t="shared" si="32"/>
        <v>0</v>
      </c>
      <c r="G140" s="125">
        <f t="shared" si="32"/>
        <v>93100</v>
      </c>
      <c r="H140" s="37">
        <f t="shared" si="32"/>
        <v>0</v>
      </c>
      <c r="I140" s="37">
        <f t="shared" si="32"/>
        <v>0</v>
      </c>
      <c r="J140" s="37">
        <f t="shared" si="32"/>
        <v>0</v>
      </c>
      <c r="K140" s="37">
        <f t="shared" si="32"/>
        <v>0</v>
      </c>
      <c r="L140" s="37">
        <f t="shared" si="32"/>
        <v>0</v>
      </c>
      <c r="M140" s="37">
        <f t="shared" si="32"/>
        <v>0</v>
      </c>
      <c r="N140" s="37"/>
      <c r="O140" s="108">
        <f aca="true" t="shared" si="33" ref="O140:U140">O141+O146</f>
        <v>138731</v>
      </c>
      <c r="P140" s="37">
        <f t="shared" si="33"/>
        <v>142950</v>
      </c>
      <c r="Q140" s="37">
        <f t="shared" si="33"/>
        <v>0</v>
      </c>
      <c r="R140" s="37">
        <f t="shared" si="33"/>
        <v>0</v>
      </c>
      <c r="S140" s="37">
        <f t="shared" si="33"/>
        <v>0</v>
      </c>
      <c r="T140" s="37">
        <f t="shared" si="33"/>
        <v>281681</v>
      </c>
      <c r="U140" s="37">
        <f t="shared" si="33"/>
        <v>0</v>
      </c>
    </row>
    <row r="141" spans="1:21" s="51" customFormat="1" ht="20.25" customHeight="1">
      <c r="A141" s="24">
        <v>2010</v>
      </c>
      <c r="B141" s="26" t="s">
        <v>9</v>
      </c>
      <c r="C141" s="37">
        <f>SUM(C142:C145)</f>
        <v>177827</v>
      </c>
      <c r="D141" s="37">
        <f aca="true" t="shared" si="34" ref="D141:U141">SUM(D142:D145)</f>
        <v>177827</v>
      </c>
      <c r="E141" s="37">
        <f t="shared" si="34"/>
        <v>93100</v>
      </c>
      <c r="F141" s="37">
        <f t="shared" si="34"/>
        <v>0</v>
      </c>
      <c r="G141" s="37">
        <f t="shared" si="34"/>
        <v>93100</v>
      </c>
      <c r="H141" s="37">
        <f t="shared" si="34"/>
        <v>0</v>
      </c>
      <c r="I141" s="37">
        <f t="shared" si="34"/>
        <v>0</v>
      </c>
      <c r="J141" s="37">
        <f t="shared" si="34"/>
        <v>0</v>
      </c>
      <c r="K141" s="37">
        <f t="shared" si="34"/>
        <v>0</v>
      </c>
      <c r="L141" s="37">
        <f t="shared" si="34"/>
        <v>0</v>
      </c>
      <c r="M141" s="37">
        <f t="shared" si="34"/>
        <v>0</v>
      </c>
      <c r="N141" s="37">
        <f t="shared" si="34"/>
        <v>0</v>
      </c>
      <c r="O141" s="37">
        <f t="shared" si="34"/>
        <v>84727</v>
      </c>
      <c r="P141" s="37">
        <f t="shared" si="34"/>
        <v>0</v>
      </c>
      <c r="Q141" s="37">
        <f t="shared" si="34"/>
        <v>0</v>
      </c>
      <c r="R141" s="37">
        <f t="shared" si="34"/>
        <v>0</v>
      </c>
      <c r="S141" s="37">
        <f t="shared" si="34"/>
        <v>0</v>
      </c>
      <c r="T141" s="37">
        <f t="shared" si="34"/>
        <v>84727</v>
      </c>
      <c r="U141" s="37">
        <f t="shared" si="34"/>
        <v>0</v>
      </c>
    </row>
    <row r="142" spans="1:21" s="50" customFormat="1" ht="29.25" customHeight="1">
      <c r="A142" s="84">
        <v>2010</v>
      </c>
      <c r="B142" s="211" t="s">
        <v>146</v>
      </c>
      <c r="C142" s="38">
        <v>93100</v>
      </c>
      <c r="D142" s="67">
        <f>H142+I142+J142+O142+P142+S142+M142+E142</f>
        <v>93100</v>
      </c>
      <c r="E142" s="36">
        <f>SUM(F142:G142)</f>
        <v>93100</v>
      </c>
      <c r="F142" s="38"/>
      <c r="G142" s="212">
        <v>93100</v>
      </c>
      <c r="H142" s="38"/>
      <c r="I142" s="38"/>
      <c r="J142" s="38"/>
      <c r="K142" s="38"/>
      <c r="L142" s="38"/>
      <c r="M142" s="38"/>
      <c r="N142" s="38"/>
      <c r="O142" s="108"/>
      <c r="P142" s="38"/>
      <c r="Q142" s="38"/>
      <c r="R142" s="38"/>
      <c r="S142" s="38"/>
      <c r="T142" s="38"/>
      <c r="U142" s="83">
        <f>C142-D142</f>
        <v>0</v>
      </c>
    </row>
    <row r="143" spans="1:21" s="146" customFormat="1" ht="46.5">
      <c r="A143" s="165">
        <v>2010</v>
      </c>
      <c r="B143" s="166" t="s">
        <v>95</v>
      </c>
      <c r="C143" s="180">
        <v>64000</v>
      </c>
      <c r="D143" s="139">
        <f>H143+I143+J143+O143+P143+S143+M143+E143</f>
        <v>64000</v>
      </c>
      <c r="E143" s="139">
        <f>SUM(F143:G143)</f>
        <v>0</v>
      </c>
      <c r="F143" s="139"/>
      <c r="G143" s="139"/>
      <c r="H143" s="181"/>
      <c r="I143" s="181"/>
      <c r="J143" s="181"/>
      <c r="K143" s="139">
        <f>SUM(L143:M143)</f>
        <v>0</v>
      </c>
      <c r="L143" s="181"/>
      <c r="M143" s="181"/>
      <c r="N143" s="181"/>
      <c r="O143" s="155">
        <v>64000</v>
      </c>
      <c r="P143" s="139"/>
      <c r="Q143" s="139"/>
      <c r="R143" s="139"/>
      <c r="S143" s="139"/>
      <c r="T143" s="163">
        <v>64000</v>
      </c>
      <c r="U143" s="139">
        <f>C143-D143</f>
        <v>0</v>
      </c>
    </row>
    <row r="144" spans="1:21" s="146" customFormat="1" ht="46.5">
      <c r="A144" s="165">
        <v>2010</v>
      </c>
      <c r="B144" s="166" t="s">
        <v>61</v>
      </c>
      <c r="C144" s="180">
        <v>20727</v>
      </c>
      <c r="D144" s="139">
        <f>H144+I144+J144+O144+P144+S144+M144+E144</f>
        <v>20727</v>
      </c>
      <c r="E144" s="139"/>
      <c r="F144" s="139"/>
      <c r="G144" s="139"/>
      <c r="H144" s="181"/>
      <c r="I144" s="181"/>
      <c r="J144" s="181"/>
      <c r="K144" s="139"/>
      <c r="L144" s="181"/>
      <c r="M144" s="181"/>
      <c r="N144" s="181"/>
      <c r="O144" s="155">
        <v>20727</v>
      </c>
      <c r="P144" s="139"/>
      <c r="Q144" s="139"/>
      <c r="R144" s="139"/>
      <c r="S144" s="139"/>
      <c r="T144" s="163">
        <v>20727</v>
      </c>
      <c r="U144" s="139">
        <f>C144-D144</f>
        <v>0</v>
      </c>
    </row>
    <row r="145" spans="1:21" s="6" customFormat="1" ht="88.5" customHeight="1" hidden="1">
      <c r="A145" s="74" t="s">
        <v>16</v>
      </c>
      <c r="B145" s="73"/>
      <c r="C145" s="88"/>
      <c r="D145" s="66">
        <f>H145+I145+J145+O145+P145+S145+M145+E145</f>
        <v>0</v>
      </c>
      <c r="E145" s="66">
        <f>SUM(F145:G145)</f>
        <v>0</v>
      </c>
      <c r="F145" s="66"/>
      <c r="G145" s="66"/>
      <c r="H145" s="89"/>
      <c r="I145" s="89"/>
      <c r="J145" s="89"/>
      <c r="K145" s="89"/>
      <c r="L145" s="89"/>
      <c r="M145" s="89"/>
      <c r="N145" s="89"/>
      <c r="O145" s="105"/>
      <c r="P145" s="66"/>
      <c r="Q145" s="66"/>
      <c r="R145" s="66"/>
      <c r="S145" s="66"/>
      <c r="T145" s="91"/>
      <c r="U145" s="66">
        <f>C145-H145-I145-J145-O145-P145-S145-M145--Q145-E145</f>
        <v>0</v>
      </c>
    </row>
    <row r="146" spans="1:21" s="94" customFormat="1" ht="32.25" customHeight="1">
      <c r="A146" s="55"/>
      <c r="B146" s="95" t="s">
        <v>10</v>
      </c>
      <c r="C146" s="81">
        <f aca="true" t="shared" si="35" ref="C146:M146">SUM(C147:C153)</f>
        <v>196954</v>
      </c>
      <c r="D146" s="81">
        <f t="shared" si="35"/>
        <v>196954</v>
      </c>
      <c r="E146" s="81">
        <f t="shared" si="35"/>
        <v>0</v>
      </c>
      <c r="F146" s="81">
        <f t="shared" si="35"/>
        <v>0</v>
      </c>
      <c r="G146" s="81">
        <f t="shared" si="35"/>
        <v>0</v>
      </c>
      <c r="H146" s="81">
        <f t="shared" si="35"/>
        <v>0</v>
      </c>
      <c r="I146" s="81">
        <f t="shared" si="35"/>
        <v>0</v>
      </c>
      <c r="J146" s="81">
        <f t="shared" si="35"/>
        <v>0</v>
      </c>
      <c r="K146" s="81">
        <f t="shared" si="35"/>
        <v>0</v>
      </c>
      <c r="L146" s="81">
        <f t="shared" si="35"/>
        <v>0</v>
      </c>
      <c r="M146" s="81">
        <f t="shared" si="35"/>
        <v>0</v>
      </c>
      <c r="N146" s="81"/>
      <c r="O146" s="81">
        <f aca="true" t="shared" si="36" ref="O146:U146">SUM(O147:O153)</f>
        <v>54004</v>
      </c>
      <c r="P146" s="81">
        <f t="shared" si="36"/>
        <v>142950</v>
      </c>
      <c r="Q146" s="81">
        <f t="shared" si="36"/>
        <v>0</v>
      </c>
      <c r="R146" s="81">
        <f t="shared" si="36"/>
        <v>0</v>
      </c>
      <c r="S146" s="81">
        <f t="shared" si="36"/>
        <v>0</v>
      </c>
      <c r="T146" s="81">
        <f t="shared" si="36"/>
        <v>196954</v>
      </c>
      <c r="U146" s="81">
        <f t="shared" si="36"/>
        <v>0</v>
      </c>
    </row>
    <row r="147" spans="1:21" s="146" customFormat="1" ht="73.5" customHeight="1">
      <c r="A147" s="133">
        <v>2111</v>
      </c>
      <c r="B147" s="166" t="s">
        <v>111</v>
      </c>
      <c r="C147" s="135">
        <v>140000</v>
      </c>
      <c r="D147" s="177">
        <f>H147+I147+J147+O147+P147+S147+M147+E147</f>
        <v>140000</v>
      </c>
      <c r="E147" s="137"/>
      <c r="F147" s="137"/>
      <c r="G147" s="137"/>
      <c r="H147" s="168"/>
      <c r="I147" s="168"/>
      <c r="J147" s="168"/>
      <c r="K147" s="136"/>
      <c r="L147" s="168"/>
      <c r="M147" s="168"/>
      <c r="N147" s="168"/>
      <c r="O147" s="169"/>
      <c r="P147" s="142">
        <v>140000</v>
      </c>
      <c r="Q147" s="142"/>
      <c r="R147" s="142"/>
      <c r="S147" s="142"/>
      <c r="T147" s="163">
        <v>140000</v>
      </c>
      <c r="U147" s="139">
        <f aca="true" t="shared" si="37" ref="U147:U155">C147-D147</f>
        <v>0</v>
      </c>
    </row>
    <row r="148" spans="1:21" s="146" customFormat="1" ht="131.25">
      <c r="A148" s="165">
        <v>2111</v>
      </c>
      <c r="B148" s="176" t="s">
        <v>64</v>
      </c>
      <c r="C148" s="135">
        <v>2950</v>
      </c>
      <c r="D148" s="177">
        <f>H148+I148+J148+O148+P148+S148+M148+E148</f>
        <v>2950</v>
      </c>
      <c r="E148" s="137"/>
      <c r="F148" s="137"/>
      <c r="G148" s="137"/>
      <c r="H148" s="168"/>
      <c r="I148" s="168"/>
      <c r="J148" s="168"/>
      <c r="K148" s="136"/>
      <c r="L148" s="168"/>
      <c r="M148" s="168"/>
      <c r="N148" s="168"/>
      <c r="O148" s="169"/>
      <c r="P148" s="142">
        <v>2950</v>
      </c>
      <c r="Q148" s="142"/>
      <c r="R148" s="142"/>
      <c r="S148" s="142"/>
      <c r="T148" s="163">
        <v>2950</v>
      </c>
      <c r="U148" s="139">
        <f t="shared" si="37"/>
        <v>0</v>
      </c>
    </row>
    <row r="149" spans="1:21" s="146" customFormat="1" ht="165" customHeight="1">
      <c r="A149" s="165">
        <v>2111</v>
      </c>
      <c r="B149" s="176" t="s">
        <v>65</v>
      </c>
      <c r="C149" s="150">
        <v>11066</v>
      </c>
      <c r="D149" s="167">
        <f>H149+I149+J149+O149+P149+S149+M149+E149</f>
        <v>11066</v>
      </c>
      <c r="E149" s="139">
        <f>SUM(F149:G149)</f>
        <v>0</v>
      </c>
      <c r="F149" s="139"/>
      <c r="G149" s="139"/>
      <c r="H149" s="151"/>
      <c r="I149" s="150"/>
      <c r="J149" s="150"/>
      <c r="K149" s="139"/>
      <c r="L149" s="150"/>
      <c r="M149" s="150"/>
      <c r="N149" s="150"/>
      <c r="O149" s="178">
        <v>11066</v>
      </c>
      <c r="P149" s="150"/>
      <c r="Q149" s="150"/>
      <c r="R149" s="150"/>
      <c r="S149" s="179"/>
      <c r="T149" s="163">
        <v>11066</v>
      </c>
      <c r="U149" s="139">
        <f t="shared" si="37"/>
        <v>0</v>
      </c>
    </row>
    <row r="150" spans="1:21" s="6" customFormat="1" ht="60.75" customHeight="1">
      <c r="A150" s="165">
        <v>2111</v>
      </c>
      <c r="B150" s="176" t="s">
        <v>66</v>
      </c>
      <c r="C150" s="180">
        <v>13038</v>
      </c>
      <c r="D150" s="139">
        <f>H150+I150+J150+O150+P150+S150+M150+E150</f>
        <v>13038</v>
      </c>
      <c r="E150" s="139"/>
      <c r="F150" s="139"/>
      <c r="G150" s="139"/>
      <c r="H150" s="181"/>
      <c r="I150" s="181"/>
      <c r="J150" s="181"/>
      <c r="K150" s="139"/>
      <c r="L150" s="181"/>
      <c r="M150" s="181"/>
      <c r="N150" s="181"/>
      <c r="O150" s="155">
        <v>13038</v>
      </c>
      <c r="P150" s="139"/>
      <c r="Q150" s="139"/>
      <c r="R150" s="139"/>
      <c r="S150" s="139"/>
      <c r="T150" s="163">
        <v>13038</v>
      </c>
      <c r="U150" s="139">
        <f t="shared" si="37"/>
        <v>0</v>
      </c>
    </row>
    <row r="151" spans="1:21" s="146" customFormat="1" ht="69.75">
      <c r="A151" s="165">
        <v>2111</v>
      </c>
      <c r="B151" s="166" t="s">
        <v>67</v>
      </c>
      <c r="C151" s="141">
        <v>16000</v>
      </c>
      <c r="D151" s="167">
        <f>H151+I151+J151+O151+P151+S151+M151+E151+R151</f>
        <v>16000</v>
      </c>
      <c r="E151" s="142"/>
      <c r="F151" s="142"/>
      <c r="G151" s="142"/>
      <c r="H151" s="168"/>
      <c r="I151" s="168"/>
      <c r="J151" s="168"/>
      <c r="K151" s="139"/>
      <c r="L151" s="168"/>
      <c r="M151" s="168"/>
      <c r="N151" s="168"/>
      <c r="O151" s="169">
        <v>16000</v>
      </c>
      <c r="P151" s="142"/>
      <c r="Q151" s="142"/>
      <c r="R151" s="142"/>
      <c r="S151" s="142"/>
      <c r="T151" s="145">
        <v>16000</v>
      </c>
      <c r="U151" s="139">
        <f t="shared" si="37"/>
        <v>0</v>
      </c>
    </row>
    <row r="152" spans="1:21" s="146" customFormat="1" ht="44.25" customHeight="1">
      <c r="A152" s="165">
        <v>2111</v>
      </c>
      <c r="B152" s="166" t="s">
        <v>57</v>
      </c>
      <c r="C152" s="141">
        <v>8000</v>
      </c>
      <c r="D152" s="167">
        <f>H152+I152+J152+O152+P152+S152+M152+E152</f>
        <v>8000</v>
      </c>
      <c r="E152" s="142">
        <f>SUM(F152:G152)</f>
        <v>0</v>
      </c>
      <c r="F152" s="142"/>
      <c r="G152" s="142"/>
      <c r="H152" s="168"/>
      <c r="I152" s="168"/>
      <c r="J152" s="168"/>
      <c r="K152" s="139">
        <f>SUM(L152:M152)</f>
        <v>0</v>
      </c>
      <c r="L152" s="168"/>
      <c r="M152" s="168"/>
      <c r="N152" s="168"/>
      <c r="O152" s="169">
        <v>8000</v>
      </c>
      <c r="P152" s="142"/>
      <c r="Q152" s="142"/>
      <c r="R152" s="142"/>
      <c r="S152" s="142"/>
      <c r="T152" s="175">
        <v>8000</v>
      </c>
      <c r="U152" s="139">
        <f t="shared" si="37"/>
        <v>0</v>
      </c>
    </row>
    <row r="153" spans="1:21" s="146" customFormat="1" ht="112.5" customHeight="1">
      <c r="A153" s="165">
        <v>2111</v>
      </c>
      <c r="B153" s="170" t="s">
        <v>58</v>
      </c>
      <c r="C153" s="141">
        <v>5900</v>
      </c>
      <c r="D153" s="167">
        <f>H153+I153+J153+O153+P153+S153+M153+E153</f>
        <v>5900</v>
      </c>
      <c r="E153" s="142">
        <f>SUM(F153:G153)</f>
        <v>0</v>
      </c>
      <c r="F153" s="142"/>
      <c r="G153" s="142"/>
      <c r="H153" s="168"/>
      <c r="I153" s="168"/>
      <c r="J153" s="168"/>
      <c r="K153" s="139">
        <f>SUM(L153:M153)</f>
        <v>0</v>
      </c>
      <c r="L153" s="168"/>
      <c r="M153" s="168"/>
      <c r="N153" s="168"/>
      <c r="O153" s="169">
        <v>5900</v>
      </c>
      <c r="P153" s="142"/>
      <c r="Q153" s="142"/>
      <c r="R153" s="142"/>
      <c r="S153" s="142"/>
      <c r="T153" s="175">
        <v>5900</v>
      </c>
      <c r="U153" s="139">
        <f t="shared" si="37"/>
        <v>0</v>
      </c>
    </row>
    <row r="154" spans="1:21" s="6" customFormat="1" ht="84" customHeight="1">
      <c r="A154" s="74">
        <v>6082</v>
      </c>
      <c r="B154" s="202" t="s">
        <v>160</v>
      </c>
      <c r="C154" s="203">
        <v>-60000</v>
      </c>
      <c r="D154" s="67">
        <f>H154+I154+J154+O154+P154+S154+M154+E154</f>
        <v>-60000</v>
      </c>
      <c r="E154" s="34"/>
      <c r="F154" s="34"/>
      <c r="G154" s="34"/>
      <c r="H154" s="215">
        <v>-60000</v>
      </c>
      <c r="I154" s="35"/>
      <c r="J154" s="35"/>
      <c r="K154" s="83"/>
      <c r="L154" s="35"/>
      <c r="M154" s="35"/>
      <c r="N154" s="35"/>
      <c r="O154" s="107"/>
      <c r="P154" s="34"/>
      <c r="Q154" s="34"/>
      <c r="R154" s="34"/>
      <c r="S154" s="34"/>
      <c r="T154" s="214"/>
      <c r="U154" s="83"/>
    </row>
    <row r="155" spans="1:21" s="6" customFormat="1" ht="73.5" customHeight="1">
      <c r="A155" s="74"/>
      <c r="B155" s="202" t="s">
        <v>124</v>
      </c>
      <c r="C155" s="203">
        <v>30000</v>
      </c>
      <c r="D155" s="204"/>
      <c r="E155" s="34"/>
      <c r="F155" s="34"/>
      <c r="G155" s="34"/>
      <c r="H155" s="35"/>
      <c r="I155" s="35"/>
      <c r="J155" s="35"/>
      <c r="K155" s="83"/>
      <c r="L155" s="35"/>
      <c r="M155" s="35"/>
      <c r="N155" s="35"/>
      <c r="O155" s="107"/>
      <c r="P155" s="34"/>
      <c r="Q155" s="34"/>
      <c r="R155" s="34"/>
      <c r="S155" s="34"/>
      <c r="T155" s="64"/>
      <c r="U155" s="83">
        <f t="shared" si="37"/>
        <v>30000</v>
      </c>
    </row>
    <row r="156" spans="1:21" s="54" customFormat="1" ht="27.75" customHeight="1">
      <c r="A156" s="47"/>
      <c r="B156" s="52" t="s">
        <v>6</v>
      </c>
      <c r="C156" s="53">
        <f>C126+C140+C124+C155+C154</f>
        <v>896233</v>
      </c>
      <c r="D156" s="53">
        <f aca="true" t="shared" si="38" ref="D156:U156">D126+D140+D124+D155+D154</f>
        <v>866233</v>
      </c>
      <c r="E156" s="53">
        <f t="shared" si="38"/>
        <v>93100</v>
      </c>
      <c r="F156" s="53">
        <f t="shared" si="38"/>
        <v>0</v>
      </c>
      <c r="G156" s="53">
        <f t="shared" si="38"/>
        <v>93100</v>
      </c>
      <c r="H156" s="53">
        <f t="shared" si="38"/>
        <v>-87660</v>
      </c>
      <c r="I156" s="53">
        <f t="shared" si="38"/>
        <v>0</v>
      </c>
      <c r="J156" s="53">
        <f t="shared" si="38"/>
        <v>0</v>
      </c>
      <c r="K156" s="53">
        <f t="shared" si="38"/>
        <v>0</v>
      </c>
      <c r="L156" s="53">
        <f t="shared" si="38"/>
        <v>0</v>
      </c>
      <c r="M156" s="53">
        <f t="shared" si="38"/>
        <v>0</v>
      </c>
      <c r="N156" s="53">
        <f t="shared" si="38"/>
        <v>0</v>
      </c>
      <c r="O156" s="53">
        <f t="shared" si="38"/>
        <v>433589</v>
      </c>
      <c r="P156" s="53">
        <f t="shared" si="38"/>
        <v>148350</v>
      </c>
      <c r="Q156" s="53">
        <f t="shared" si="38"/>
        <v>0</v>
      </c>
      <c r="R156" s="53">
        <f t="shared" si="38"/>
        <v>0</v>
      </c>
      <c r="S156" s="121">
        <f t="shared" si="38"/>
        <v>278854</v>
      </c>
      <c r="T156" s="53">
        <f t="shared" si="38"/>
        <v>785793</v>
      </c>
      <c r="U156" s="53">
        <f t="shared" si="38"/>
        <v>30000</v>
      </c>
    </row>
    <row r="157" spans="1:21" s="57" customFormat="1" ht="27.75" customHeight="1">
      <c r="A157" s="55"/>
      <c r="B157" s="56" t="s">
        <v>8</v>
      </c>
      <c r="C157" s="33">
        <f aca="true" t="shared" si="39" ref="C157:N157">C156+C122</f>
        <v>23331302.430000003</v>
      </c>
      <c r="D157" s="53">
        <f t="shared" si="39"/>
        <v>13024766.229999999</v>
      </c>
      <c r="E157" s="98">
        <f t="shared" si="39"/>
        <v>3366000</v>
      </c>
      <c r="F157" s="98">
        <f t="shared" si="39"/>
        <v>3029400</v>
      </c>
      <c r="G157" s="98">
        <f t="shared" si="39"/>
        <v>336600</v>
      </c>
      <c r="H157" s="53">
        <f t="shared" si="39"/>
        <v>0</v>
      </c>
      <c r="I157" s="53">
        <f t="shared" si="39"/>
        <v>0</v>
      </c>
      <c r="J157" s="53">
        <f t="shared" si="39"/>
        <v>0</v>
      </c>
      <c r="K157" s="121">
        <f t="shared" si="39"/>
        <v>460059.61</v>
      </c>
      <c r="L157" s="121">
        <f t="shared" si="39"/>
        <v>460059.61</v>
      </c>
      <c r="M157" s="53">
        <f t="shared" si="39"/>
        <v>0</v>
      </c>
      <c r="N157" s="121">
        <f t="shared" si="39"/>
        <v>2208000</v>
      </c>
      <c r="O157" s="194">
        <f aca="true" t="shared" si="40" ref="O157:U157">O156+O122</f>
        <v>2219834.05</v>
      </c>
      <c r="P157" s="53">
        <f t="shared" si="40"/>
        <v>1669217.57</v>
      </c>
      <c r="Q157" s="98">
        <f t="shared" si="40"/>
        <v>2744900</v>
      </c>
      <c r="R157" s="98">
        <f t="shared" si="40"/>
        <v>-4700</v>
      </c>
      <c r="S157" s="98">
        <f t="shared" si="40"/>
        <v>361455</v>
      </c>
      <c r="T157" s="118">
        <f t="shared" si="40"/>
        <v>9847330.12</v>
      </c>
      <c r="U157" s="122">
        <f t="shared" si="40"/>
        <v>7904680.55</v>
      </c>
    </row>
    <row r="158" spans="1:21" s="39" customFormat="1" ht="36.75" customHeight="1">
      <c r="A158" s="42"/>
      <c r="B158" s="189"/>
      <c r="C158" s="40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130"/>
      <c r="P158" s="40"/>
      <c r="Q158" s="40"/>
      <c r="R158" s="40"/>
      <c r="S158" s="40"/>
      <c r="T158" s="40"/>
      <c r="U158" s="40"/>
    </row>
    <row r="159" spans="1:21" s="9" customFormat="1" ht="26.25" customHeight="1">
      <c r="A159" s="10"/>
      <c r="B159" s="129"/>
      <c r="C159" s="27"/>
      <c r="D159" s="32"/>
      <c r="E159" s="32"/>
      <c r="F159" s="32"/>
      <c r="G159" s="32"/>
      <c r="H159" s="18"/>
      <c r="I159" s="18"/>
      <c r="J159" s="18"/>
      <c r="K159" s="18"/>
      <c r="L159" s="18"/>
      <c r="M159" s="18"/>
      <c r="N159" s="18"/>
      <c r="O159" s="131"/>
      <c r="P159" s="19"/>
      <c r="Q159" s="19"/>
      <c r="R159" s="19"/>
      <c r="S159" s="19"/>
      <c r="T159" s="19"/>
      <c r="U159" s="77"/>
    </row>
    <row r="160" spans="1:21" s="9" customFormat="1" ht="13.5" customHeight="1">
      <c r="A160" s="11"/>
      <c r="B160" s="11"/>
      <c r="C160" s="28"/>
      <c r="D160" s="28"/>
      <c r="E160" s="28"/>
      <c r="F160" s="28"/>
      <c r="G160" s="28"/>
      <c r="H160" s="12"/>
      <c r="I160" s="12"/>
      <c r="J160" s="12"/>
      <c r="K160" s="12"/>
      <c r="L160" s="12"/>
      <c r="M160" s="12"/>
      <c r="N160" s="12"/>
      <c r="O160" s="131"/>
      <c r="P160" s="19"/>
      <c r="Q160" s="19"/>
      <c r="R160" s="19"/>
      <c r="S160" s="19"/>
      <c r="T160" s="19"/>
      <c r="U160" s="78"/>
    </row>
    <row r="161" spans="1:21" s="9" customFormat="1" ht="22.5">
      <c r="A161" s="11"/>
      <c r="B161" s="13"/>
      <c r="C161" s="29"/>
      <c r="D161" s="28"/>
      <c r="E161" s="28"/>
      <c r="F161" s="28"/>
      <c r="G161" s="28"/>
      <c r="H161" s="12"/>
      <c r="I161" s="12"/>
      <c r="J161" s="12"/>
      <c r="K161" s="12"/>
      <c r="L161" s="12"/>
      <c r="M161" s="12"/>
      <c r="N161" s="12"/>
      <c r="O161" s="226"/>
      <c r="P161" s="226"/>
      <c r="Q161" s="226"/>
      <c r="R161" s="226"/>
      <c r="S161" s="226"/>
      <c r="T161" s="226"/>
      <c r="U161" s="20"/>
    </row>
    <row r="162" spans="1:21" s="16" customFormat="1" ht="20.25">
      <c r="A162" s="14"/>
      <c r="B162" s="14"/>
      <c r="C162" s="30"/>
      <c r="D162" s="30"/>
      <c r="E162" s="30"/>
      <c r="F162" s="30"/>
      <c r="G162" s="30"/>
      <c r="H162" s="15"/>
      <c r="I162" s="15"/>
      <c r="J162" s="15"/>
      <c r="K162" s="15"/>
      <c r="L162" s="15"/>
      <c r="M162" s="15"/>
      <c r="N162" s="15"/>
      <c r="O162" s="100"/>
      <c r="P162" s="15"/>
      <c r="Q162" s="15"/>
      <c r="R162" s="15"/>
      <c r="S162" s="15"/>
      <c r="T162" s="15"/>
      <c r="U162" s="21"/>
    </row>
    <row r="163" spans="10:14" ht="20.25">
      <c r="J163" s="22"/>
      <c r="K163" s="22"/>
      <c r="L163" s="22"/>
      <c r="M163" s="22"/>
      <c r="N163" s="22"/>
    </row>
  </sheetData>
  <sheetProtection/>
  <mergeCells count="28">
    <mergeCell ref="A1:M2"/>
    <mergeCell ref="A5:D5"/>
    <mergeCell ref="I8:I9"/>
    <mergeCell ref="A7:U7"/>
    <mergeCell ref="A4:D4"/>
    <mergeCell ref="C8:C10"/>
    <mergeCell ref="D8:D10"/>
    <mergeCell ref="O8:O10"/>
    <mergeCell ref="K8:M8"/>
    <mergeCell ref="K9:M9"/>
    <mergeCell ref="O161:T161"/>
    <mergeCell ref="A12:U12"/>
    <mergeCell ref="A123:U123"/>
    <mergeCell ref="E8:G8"/>
    <mergeCell ref="E9:E10"/>
    <mergeCell ref="F9:F10"/>
    <mergeCell ref="G9:G10"/>
    <mergeCell ref="H8:H10"/>
    <mergeCell ref="A8:A10"/>
    <mergeCell ref="B8:B10"/>
    <mergeCell ref="A3:M3"/>
    <mergeCell ref="N8:N10"/>
    <mergeCell ref="U8:U10"/>
    <mergeCell ref="P8:P10"/>
    <mergeCell ref="Q8:Q10"/>
    <mergeCell ref="S8:S10"/>
    <mergeCell ref="T8:T10"/>
    <mergeCell ref="R8:R10"/>
  </mergeCells>
  <printOptions/>
  <pageMargins left="0.25" right="0.15" top="0.35433070866141736" bottom="0.2755905511811024" header="0.31496062992125984" footer="0.2755905511811024"/>
  <pageSetup horizontalDpi="600" verticalDpi="600" orientation="landscape" paperSize="9" scale="34" r:id="rId1"/>
  <headerFooter alignWithMargins="0">
    <oddFooter>&amp;R&amp;P</oddFooter>
  </headerFooter>
  <rowBreaks count="5" manualBreakCount="5">
    <brk id="41" max="20" man="1"/>
    <brk id="66" max="20" man="1"/>
    <brk id="91" max="20" man="1"/>
    <brk id="116" max="20" man="1"/>
    <brk id="136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u252109</dc:creator>
  <cp:keywords/>
  <dc:description/>
  <cp:lastModifiedBy>ВО начальника</cp:lastModifiedBy>
  <cp:lastPrinted>2018-10-05T08:39:45Z</cp:lastPrinted>
  <dcterms:created xsi:type="dcterms:W3CDTF">2012-08-02T06:19:34Z</dcterms:created>
  <dcterms:modified xsi:type="dcterms:W3CDTF">2018-10-08T13:05:21Z</dcterms:modified>
  <cp:category/>
  <cp:version/>
  <cp:contentType/>
  <cp:contentStatus/>
</cp:coreProperties>
</file>